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ски (2)" sheetId="1" r:id="rId1"/>
  </sheets>
  <definedNames>
    <definedName name="_xlnm.Print_Area" localSheetId="0">'доски (2)'!$A$1:$AQ$66</definedName>
  </definedNames>
  <calcPr fullCalcOnLoad="1"/>
</workbook>
</file>

<file path=xl/sharedStrings.xml><?xml version="1.0" encoding="utf-8"?>
<sst xmlns="http://schemas.openxmlformats.org/spreadsheetml/2006/main" count="264" uniqueCount="55">
  <si>
    <t>Экономист по ценам</t>
  </si>
  <si>
    <t>Медведская Я.С.</t>
  </si>
  <si>
    <t xml:space="preserve">Утверждаю </t>
  </si>
  <si>
    <t>№</t>
  </si>
  <si>
    <t>сорт</t>
  </si>
  <si>
    <t>толщина</t>
  </si>
  <si>
    <t xml:space="preserve">отпускная </t>
  </si>
  <si>
    <t xml:space="preserve">ставка </t>
  </si>
  <si>
    <t>итого</t>
  </si>
  <si>
    <t>цена без НДС</t>
  </si>
  <si>
    <t>с НДС</t>
  </si>
  <si>
    <t>44 и б</t>
  </si>
  <si>
    <t>НДС 20%</t>
  </si>
  <si>
    <t>НДС20%</t>
  </si>
  <si>
    <t>штакетник из основного сырья</t>
  </si>
  <si>
    <t>ТУ РБ 00969296.005-98</t>
  </si>
  <si>
    <t>штакетник из пиломатериалов</t>
  </si>
  <si>
    <t>Пиломатериалы необрезные твердолиственных пород(ДУБ)  СТБ 1714- 2007(дл.0.5м-6.5м с градацией 0.1м)</t>
  </si>
  <si>
    <t>Пиломатериалы обрезные твердолиственных пород(ДУБ)  СТБ 1714- 2007(дл.0.5м-6.5м с градацией 0.1м)</t>
  </si>
  <si>
    <t>брус необрезной хвойных пород 1с</t>
  </si>
  <si>
    <t>брус обрезной хвойных пород 1с</t>
  </si>
  <si>
    <t>брус необрезной хвойных пород 2с</t>
  </si>
  <si>
    <t>брус необрезной хвойных пород 3с</t>
  </si>
  <si>
    <t>брус необрезной хвойных пород 4с</t>
  </si>
  <si>
    <t>брус обрезной хвойных пород 2с</t>
  </si>
  <si>
    <t>брус обрезной хвойных пород 3с</t>
  </si>
  <si>
    <t>брус обрезной хвойных пород 4с</t>
  </si>
  <si>
    <t>брусок обрезной хвойных пород 1с</t>
  </si>
  <si>
    <t>брусок обрезной хвойных пород 2с</t>
  </si>
  <si>
    <t>брусок обрезной хвойных пород 3с</t>
  </si>
  <si>
    <t>брусок обрезной хвойных пород 4с</t>
  </si>
  <si>
    <t>СТБ 1713-2007(толщ.до100мм и шир. не бол.дв.толщ.)</t>
  </si>
  <si>
    <t>до 25 (22)</t>
  </si>
  <si>
    <t>25-30(25)</t>
  </si>
  <si>
    <t>32-40(32;40)</t>
  </si>
  <si>
    <t>СТБ 1713-2007(толщ.и шир.100мм и бол)(100-125)(150мм и бол.)</t>
  </si>
  <si>
    <t>с 01.11.2012г.</t>
  </si>
  <si>
    <t>И.о.директора ГЛХУ" Оршанский  лесхоз"</t>
  </si>
  <si>
    <t>________________А.А.Баханович</t>
  </si>
  <si>
    <t>с 01.02.2013г.</t>
  </si>
  <si>
    <t>Прейскурант №2 к приказу №105от 30.01.2013г.</t>
  </si>
  <si>
    <t>Пиломатериалы обрезные хвойных пород СТБ 1713-2007(дл.0.5м-6.5м с градацией 0.25м)</t>
  </si>
  <si>
    <t>Пиломатериалы необрезные хвойных пород  СТБ 1713-2007(дл.0.5м-6.5м )</t>
  </si>
  <si>
    <t>Пиломатериалы необрезные твердолиственных пород(ДУБ)  СТБ 1714- 2007(дл.0.5м-6.5м )</t>
  </si>
  <si>
    <t>Пиломатериалы необрезные мягколиственных пород СТБ 1714- 2007(дл.0.5м-6.5м )</t>
  </si>
  <si>
    <t>Пиломатериалы обрезные мягколиственных пород.СТБ 1714-2007(дл.2.0м-6.5м с градацией 0.25м)</t>
  </si>
  <si>
    <t>Утверждаю:</t>
  </si>
  <si>
    <t>Директор ГЛХУ "Оршанский  лесхоз"</t>
  </si>
  <si>
    <t>__________________С.В.Суходолов</t>
  </si>
  <si>
    <t>цена сНДС(до деноминации)</t>
  </si>
  <si>
    <t>с 01.12.2017г.</t>
  </si>
  <si>
    <t>цена сНДС</t>
  </si>
  <si>
    <t>цена безНДС</t>
  </si>
  <si>
    <t xml:space="preserve">Прейскурант №1 к приказу № 585   от .20.11.2017г.              </t>
  </si>
  <si>
    <t xml:space="preserve">Прейскурант №1 к приказу № 585 от .20.11.2017г.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</si>
</sst>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0"/>
    <numFmt numFmtId="181" formatCode="0.0"/>
    <numFmt numFmtId="182" formatCode="_-* #,##0_р_._-;\-* #,##0_р_._-;_-* &quot;-&quot;??_р_._-;_-@_-"/>
    <numFmt numFmtId="183" formatCode="_-* #,##0.0_р_._-;\-* #,##0.0_р_._-;_-* &quot;-&quot;?_р_._-;_-@_-"/>
    <numFmt numFmtId="184" formatCode="_(* #,##0.0_);_(* \(#,##0.0\);_(* &quot;-&quot;?_);_(@_)"/>
    <numFmt numFmtId="185" formatCode="_(* #,##0_);_(* \(#,##0\);_(* &quot;-&quot;?_);_(@_)"/>
    <numFmt numFmtId="186" formatCode="_-* #,##0_р_._-;\-* #,##0_р_._-;_-* &quot;-&quot;?_р_._-;_-@_-"/>
    <numFmt numFmtId="187" formatCode="_-* #,##0.00_р_._-;\-* #,##0.00_р_._-;_-* &quot;-&quot;?_р_._-;_-@_-"/>
    <numFmt numFmtId="188" formatCode="_-* #,##0.0_р_._-;\-* #,##0.0_р_._-;_-* &quot;-&quot;??_р_._-;_-@_-"/>
    <numFmt numFmtId="189" formatCode="_(* #,##0.00_);_(* \(#,##0.00\);_(* &quot;-&quot;?_);_(@_)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10"/>
      <color indexed="63"/>
      <name val="Arial Cyr"/>
      <family val="2"/>
    </font>
    <font>
      <b/>
      <i/>
      <sz val="11"/>
      <name val="Arial Cyr"/>
      <family val="2"/>
    </font>
    <font>
      <sz val="14"/>
      <name val="Times New Roman"/>
      <family val="1"/>
    </font>
    <font>
      <sz val="14"/>
      <name val="Arial"/>
      <family val="0"/>
    </font>
    <font>
      <b/>
      <sz val="10"/>
      <name val="Arial"/>
      <family val="0"/>
    </font>
    <font>
      <b/>
      <sz val="12"/>
      <name val="Arial Cyr"/>
      <family val="2"/>
    </font>
    <font>
      <b/>
      <i/>
      <sz val="12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i/>
      <sz val="8"/>
      <name val="Arial Cyr"/>
      <family val="2"/>
    </font>
    <font>
      <b/>
      <sz val="10"/>
      <color indexed="63"/>
      <name val="Arial Cyr"/>
      <family val="0"/>
    </font>
    <font>
      <b/>
      <i/>
      <sz val="11"/>
      <color indexed="63"/>
      <name val="Arial Cyr"/>
      <family val="0"/>
    </font>
    <font>
      <b/>
      <i/>
      <sz val="11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82" fontId="8" fillId="0" borderId="1" xfId="2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2" xfId="0" applyFont="1" applyFill="1" applyBorder="1" applyAlignment="1">
      <alignment/>
    </xf>
    <xf numFmtId="182" fontId="8" fillId="0" borderId="16" xfId="2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7" xfId="0" applyFill="1" applyBorder="1" applyAlignment="1">
      <alignment/>
    </xf>
    <xf numFmtId="182" fontId="8" fillId="0" borderId="1" xfId="20" applyNumberFormat="1" applyFont="1" applyFill="1" applyBorder="1" applyAlignment="1">
      <alignment horizontal="center"/>
    </xf>
    <xf numFmtId="182" fontId="8" fillId="0" borderId="5" xfId="20" applyNumberFormat="1" applyFont="1" applyFill="1" applyBorder="1" applyAlignment="1">
      <alignment horizontal="center"/>
    </xf>
    <xf numFmtId="182" fontId="8" fillId="0" borderId="6" xfId="20" applyNumberFormat="1" applyFont="1" applyFill="1" applyBorder="1" applyAlignment="1">
      <alignment horizontal="center"/>
    </xf>
    <xf numFmtId="182" fontId="8" fillId="0" borderId="17" xfId="2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9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22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26" xfId="0" applyFont="1" applyFill="1" applyBorder="1" applyAlignment="1">
      <alignment horizontal="center"/>
    </xf>
    <xf numFmtId="9" fontId="6" fillId="0" borderId="25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5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/>
    </xf>
    <xf numFmtId="0" fontId="14" fillId="0" borderId="0" xfId="0" applyFont="1" applyFill="1" applyAlignment="1">
      <alignment/>
    </xf>
    <xf numFmtId="9" fontId="5" fillId="0" borderId="1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82" fontId="8" fillId="0" borderId="9" xfId="2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16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182" fontId="8" fillId="0" borderId="0" xfId="2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0" borderId="1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87" fontId="18" fillId="0" borderId="1" xfId="0" applyNumberFormat="1" applyFont="1" applyFill="1" applyBorder="1" applyAlignment="1">
      <alignment horizontal="center"/>
    </xf>
    <xf numFmtId="43" fontId="8" fillId="0" borderId="16" xfId="20" applyNumberFormat="1" applyFont="1" applyFill="1" applyBorder="1" applyAlignment="1">
      <alignment horizontal="center"/>
    </xf>
    <xf numFmtId="43" fontId="8" fillId="0" borderId="1" xfId="20" applyNumberFormat="1" applyFont="1" applyFill="1" applyBorder="1" applyAlignment="1">
      <alignment horizontal="center"/>
    </xf>
    <xf numFmtId="43" fontId="8" fillId="0" borderId="9" xfId="2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89" fontId="14" fillId="0" borderId="9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vertical="justify"/>
    </xf>
    <xf numFmtId="182" fontId="8" fillId="0" borderId="33" xfId="20" applyNumberFormat="1" applyFont="1" applyFill="1" applyBorder="1" applyAlignment="1">
      <alignment horizontal="center"/>
    </xf>
    <xf numFmtId="189" fontId="14" fillId="0" borderId="25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justify"/>
    </xf>
    <xf numFmtId="0" fontId="6" fillId="0" borderId="34" xfId="0" applyFont="1" applyFill="1" applyBorder="1" applyAlignment="1">
      <alignment horizontal="center" wrapText="1"/>
    </xf>
    <xf numFmtId="43" fontId="8" fillId="0" borderId="1" xfId="20" applyNumberFormat="1" applyFont="1" applyFill="1" applyBorder="1" applyAlignment="1">
      <alignment horizontal="center"/>
    </xf>
    <xf numFmtId="43" fontId="8" fillId="0" borderId="9" xfId="20" applyNumberFormat="1" applyFont="1" applyFill="1" applyBorder="1" applyAlignment="1">
      <alignment horizontal="center"/>
    </xf>
    <xf numFmtId="187" fontId="8" fillId="0" borderId="1" xfId="20" applyNumberFormat="1" applyFont="1" applyFill="1" applyBorder="1" applyAlignment="1">
      <alignment horizontal="center"/>
    </xf>
    <xf numFmtId="43" fontId="19" fillId="0" borderId="1" xfId="2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43" fontId="8" fillId="0" borderId="0" xfId="2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vertical="justify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6" fillId="0" borderId="3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 wrapText="1"/>
    </xf>
    <xf numFmtId="43" fontId="13" fillId="0" borderId="36" xfId="0" applyNumberFormat="1" applyFont="1" applyFill="1" applyBorder="1" applyAlignment="1">
      <alignment horizontal="center"/>
    </xf>
    <xf numFmtId="43" fontId="13" fillId="0" borderId="16" xfId="0" applyNumberFormat="1" applyFont="1" applyFill="1" applyBorder="1" applyAlignment="1">
      <alignment horizontal="center"/>
    </xf>
    <xf numFmtId="43" fontId="13" fillId="0" borderId="31" xfId="0" applyNumberFormat="1" applyFont="1" applyFill="1" applyBorder="1" applyAlignment="1">
      <alignment/>
    </xf>
    <xf numFmtId="43" fontId="13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28" xfId="0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3" fontId="8" fillId="0" borderId="37" xfId="20" applyNumberFormat="1" applyFont="1" applyFill="1" applyBorder="1" applyAlignment="1">
      <alignment horizontal="center"/>
    </xf>
    <xf numFmtId="43" fontId="13" fillId="0" borderId="9" xfId="0" applyNumberFormat="1" applyFont="1" applyFill="1" applyBorder="1" applyAlignment="1">
      <alignment/>
    </xf>
    <xf numFmtId="43" fontId="13" fillId="0" borderId="3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7"/>
  <sheetViews>
    <sheetView tabSelected="1" view="pageBreakPreview" zoomScaleSheetLayoutView="100" workbookViewId="0" topLeftCell="A1">
      <selection activeCell="AP34" sqref="AP34"/>
    </sheetView>
  </sheetViews>
  <sheetFormatPr defaultColWidth="9.140625" defaultRowHeight="12.75" outlineLevelCol="1"/>
  <cols>
    <col min="1" max="1" width="5.421875" style="2" customWidth="1"/>
    <col min="2" max="2" width="6.8515625" style="2" customWidth="1"/>
    <col min="3" max="3" width="5.7109375" style="2" customWidth="1"/>
    <col min="4" max="4" width="11.7109375" style="2" customWidth="1"/>
    <col min="5" max="5" width="15.140625" style="2" customWidth="1"/>
    <col min="6" max="6" width="15.57421875" style="2" customWidth="1"/>
    <col min="7" max="7" width="15.28125" style="2" customWidth="1"/>
    <col min="8" max="8" width="5.8515625" style="2" customWidth="1"/>
    <col min="9" max="9" width="8.140625" style="2" customWidth="1"/>
    <col min="10" max="10" width="7.8515625" style="2" customWidth="1"/>
    <col min="11" max="11" width="12.28125" style="2" customWidth="1"/>
    <col min="12" max="12" width="16.57421875" style="2" customWidth="1"/>
    <col min="13" max="13" width="14.57421875" style="2" customWidth="1"/>
    <col min="14" max="14" width="15.28125" style="2" customWidth="1"/>
    <col min="15" max="15" width="6.8515625" style="2" customWidth="1"/>
    <col min="16" max="16" width="6.8515625" style="2" customWidth="1" outlineLevel="1"/>
    <col min="17" max="17" width="6.7109375" style="2" customWidth="1" outlineLevel="1"/>
    <col min="18" max="18" width="11.00390625" style="2" customWidth="1" outlineLevel="1"/>
    <col min="19" max="19" width="13.421875" style="2" customWidth="1" outlineLevel="1"/>
    <col min="20" max="20" width="13.57421875" style="2" customWidth="1" outlineLevel="1"/>
    <col min="21" max="21" width="13.57421875" style="2" hidden="1" customWidth="1" outlineLevel="1"/>
    <col min="22" max="22" width="14.00390625" style="2" customWidth="1" outlineLevel="1"/>
    <col min="23" max="23" width="2.00390625" style="2" customWidth="1"/>
    <col min="24" max="24" width="6.7109375" style="2" hidden="1" customWidth="1"/>
    <col min="25" max="25" width="7.28125" style="2" hidden="1" customWidth="1"/>
    <col min="26" max="26" width="11.421875" style="2" hidden="1" customWidth="1"/>
    <col min="27" max="28" width="13.421875" style="2" hidden="1" customWidth="1"/>
    <col min="29" max="29" width="12.00390625" style="2" hidden="1" customWidth="1"/>
    <col min="30" max="30" width="13.8515625" style="2" hidden="1" customWidth="1"/>
    <col min="31" max="31" width="9.140625" style="2" hidden="1" customWidth="1"/>
    <col min="32" max="32" width="3.140625" style="2" hidden="1" customWidth="1"/>
    <col min="33" max="33" width="9.140625" style="2" hidden="1" customWidth="1"/>
    <col min="34" max="34" width="3.57421875" style="2" customWidth="1"/>
    <col min="35" max="35" width="7.57421875" style="2" customWidth="1"/>
    <col min="36" max="36" width="26.421875" style="2" customWidth="1"/>
    <col min="37" max="37" width="15.57421875" style="2" customWidth="1"/>
    <col min="38" max="38" width="16.7109375" style="2" customWidth="1"/>
    <col min="39" max="39" width="14.57421875" style="2" customWidth="1"/>
    <col min="40" max="16384" width="9.140625" style="2" customWidth="1"/>
  </cols>
  <sheetData>
    <row r="1" spans="1:39" ht="15.75">
      <c r="A1"/>
      <c r="B1"/>
      <c r="C1"/>
      <c r="K1" s="92" t="s">
        <v>53</v>
      </c>
      <c r="L1" s="92"/>
      <c r="M1" s="92"/>
      <c r="AK1" s="92" t="s">
        <v>54</v>
      </c>
      <c r="AL1" s="92"/>
      <c r="AM1" s="92"/>
    </row>
    <row r="2" spans="1:39" ht="15.75">
      <c r="A2"/>
      <c r="B2"/>
      <c r="C2"/>
      <c r="K2" s="92" t="s">
        <v>46</v>
      </c>
      <c r="L2" s="92"/>
      <c r="M2" s="92"/>
      <c r="Z2" s="2" t="s">
        <v>40</v>
      </c>
      <c r="AK2" s="92" t="s">
        <v>46</v>
      </c>
      <c r="AL2" s="92"/>
      <c r="AM2" s="92"/>
    </row>
    <row r="3" spans="1:44" ht="18.75">
      <c r="A3"/>
      <c r="B3"/>
      <c r="C3"/>
      <c r="K3" s="92" t="s">
        <v>47</v>
      </c>
      <c r="L3" s="92"/>
      <c r="M3" s="92"/>
      <c r="Z3" s="62" t="s">
        <v>2</v>
      </c>
      <c r="AK3" s="92" t="s">
        <v>47</v>
      </c>
      <c r="AL3" s="92"/>
      <c r="AM3" s="92"/>
      <c r="AN3" s="93"/>
      <c r="AO3" s="93"/>
      <c r="AP3" s="93"/>
      <c r="AQ3" s="93"/>
      <c r="AR3" s="93"/>
    </row>
    <row r="4" spans="1:44" ht="24.75" customHeight="1">
      <c r="A4"/>
      <c r="B4"/>
      <c r="C4"/>
      <c r="K4" s="92" t="s">
        <v>48</v>
      </c>
      <c r="L4" s="92"/>
      <c r="M4" s="92"/>
      <c r="N4" s="17"/>
      <c r="O4" s="17"/>
      <c r="V4" s="62"/>
      <c r="Z4" s="62" t="s">
        <v>37</v>
      </c>
      <c r="AD4" s="17"/>
      <c r="AK4" s="92" t="s">
        <v>48</v>
      </c>
      <c r="AL4" s="92"/>
      <c r="AM4" s="92"/>
      <c r="AN4" s="92"/>
      <c r="AO4" s="92"/>
      <c r="AP4" s="92"/>
      <c r="AQ4" s="92"/>
      <c r="AR4" s="93"/>
    </row>
    <row r="5" spans="1:44" ht="15" customHeight="1">
      <c r="A5"/>
      <c r="B5"/>
      <c r="C5"/>
      <c r="L5" s="62"/>
      <c r="N5" s="17"/>
      <c r="O5" s="17"/>
      <c r="V5" s="62"/>
      <c r="Z5" s="62" t="s">
        <v>38</v>
      </c>
      <c r="AD5" s="17"/>
      <c r="AL5" s="92"/>
      <c r="AM5" s="92"/>
      <c r="AN5" s="92"/>
      <c r="AO5" s="92"/>
      <c r="AP5" s="92"/>
      <c r="AQ5" s="92"/>
      <c r="AR5" s="93"/>
    </row>
    <row r="6" spans="1:37" ht="9" customHeight="1">
      <c r="A6"/>
      <c r="B6"/>
      <c r="C6"/>
      <c r="E6" s="62"/>
      <c r="F6" s="17"/>
      <c r="G6" s="17"/>
      <c r="H6" s="17"/>
      <c r="I6" s="17"/>
      <c r="J6" s="17"/>
      <c r="K6" s="17"/>
      <c r="L6" s="17"/>
      <c r="M6" s="17"/>
      <c r="N6" s="17"/>
      <c r="O6" s="17"/>
      <c r="R6" s="62"/>
      <c r="V6" s="62"/>
      <c r="AK6" s="62"/>
    </row>
    <row r="7" spans="1:25" s="3" customFormat="1" ht="7.5" customHeight="1">
      <c r="A7"/>
      <c r="B7"/>
      <c r="C7"/>
      <c r="D7" s="2"/>
      <c r="F7" s="2"/>
      <c r="G7" s="63"/>
      <c r="H7" s="63"/>
      <c r="I7" s="63"/>
      <c r="J7" s="63"/>
      <c r="K7" s="63"/>
      <c r="L7" s="63"/>
      <c r="M7" s="63"/>
      <c r="N7" s="2"/>
      <c r="O7" s="77"/>
      <c r="P7" s="2"/>
      <c r="Q7" s="64"/>
      <c r="R7" s="2"/>
      <c r="S7" s="2"/>
      <c r="T7" s="2"/>
      <c r="U7" s="2"/>
      <c r="V7" s="2"/>
      <c r="Y7" s="2"/>
    </row>
    <row r="8" spans="1:37" ht="15" customHeight="1">
      <c r="A8"/>
      <c r="B8" s="136" t="s">
        <v>42</v>
      </c>
      <c r="C8" s="154"/>
      <c r="D8" s="154"/>
      <c r="E8" s="154"/>
      <c r="F8" s="154"/>
      <c r="G8" s="154"/>
      <c r="H8" s="86"/>
      <c r="I8" s="162" t="s">
        <v>17</v>
      </c>
      <c r="J8" s="162"/>
      <c r="K8" s="162"/>
      <c r="L8" s="162"/>
      <c r="M8" s="162"/>
      <c r="N8" s="162"/>
      <c r="O8" s="120"/>
      <c r="P8" s="143" t="s">
        <v>44</v>
      </c>
      <c r="Q8" s="144"/>
      <c r="R8" s="144"/>
      <c r="S8" s="144"/>
      <c r="T8" s="144"/>
      <c r="U8" s="144"/>
      <c r="V8" s="159"/>
      <c r="X8" s="162" t="s">
        <v>43</v>
      </c>
      <c r="Y8" s="162"/>
      <c r="Z8" s="162"/>
      <c r="AA8" s="162"/>
      <c r="AB8" s="162"/>
      <c r="AC8" s="162"/>
      <c r="AD8" s="162"/>
      <c r="AK8" s="77"/>
    </row>
    <row r="9" spans="1:37" ht="15" thickBot="1">
      <c r="A9"/>
      <c r="B9" s="155"/>
      <c r="C9" s="155"/>
      <c r="D9" s="155"/>
      <c r="E9" s="155"/>
      <c r="F9" s="155"/>
      <c r="G9" s="155"/>
      <c r="H9" s="90"/>
      <c r="I9" s="163"/>
      <c r="J9" s="163"/>
      <c r="K9" s="163"/>
      <c r="L9" s="163"/>
      <c r="M9" s="163"/>
      <c r="N9" s="163"/>
      <c r="O9" s="120"/>
      <c r="P9" s="145"/>
      <c r="Q9" s="145"/>
      <c r="R9" s="145"/>
      <c r="S9" s="145"/>
      <c r="T9" s="145"/>
      <c r="U9" s="145"/>
      <c r="V9" s="160"/>
      <c r="X9" s="163"/>
      <c r="Y9" s="163"/>
      <c r="Z9" s="163"/>
      <c r="AA9" s="163"/>
      <c r="AB9" s="163"/>
      <c r="AC9" s="163"/>
      <c r="AD9" s="163"/>
      <c r="AK9" s="76"/>
    </row>
    <row r="10" spans="1:39" s="3" customFormat="1" ht="25.5" customHeight="1">
      <c r="A10"/>
      <c r="B10" s="152" t="s">
        <v>3</v>
      </c>
      <c r="C10" s="149" t="s">
        <v>4</v>
      </c>
      <c r="D10" s="139" t="s">
        <v>5</v>
      </c>
      <c r="E10" s="5" t="s">
        <v>6</v>
      </c>
      <c r="F10" s="110" t="s">
        <v>7</v>
      </c>
      <c r="G10" s="110" t="s">
        <v>6</v>
      </c>
      <c r="H10" s="88"/>
      <c r="I10" s="128" t="s">
        <v>3</v>
      </c>
      <c r="J10" s="141" t="s">
        <v>4</v>
      </c>
      <c r="K10" s="139" t="s">
        <v>5</v>
      </c>
      <c r="L10" s="110" t="s">
        <v>6</v>
      </c>
      <c r="M10" s="110" t="s">
        <v>7</v>
      </c>
      <c r="N10" s="110" t="s">
        <v>6</v>
      </c>
      <c r="O10" s="126"/>
      <c r="P10" s="65" t="s">
        <v>3</v>
      </c>
      <c r="Q10" s="157" t="s">
        <v>4</v>
      </c>
      <c r="R10" s="139" t="s">
        <v>5</v>
      </c>
      <c r="S10" s="110" t="s">
        <v>6</v>
      </c>
      <c r="T10" s="5" t="s">
        <v>7</v>
      </c>
      <c r="U10" s="110" t="s">
        <v>6</v>
      </c>
      <c r="V10" s="110" t="s">
        <v>6</v>
      </c>
      <c r="X10" s="128" t="s">
        <v>3</v>
      </c>
      <c r="Y10" s="141" t="s">
        <v>4</v>
      </c>
      <c r="Z10" s="139" t="s">
        <v>5</v>
      </c>
      <c r="AA10" s="5" t="s">
        <v>6</v>
      </c>
      <c r="AB10" s="5" t="s">
        <v>6</v>
      </c>
      <c r="AC10" s="5" t="s">
        <v>7</v>
      </c>
      <c r="AD10" s="6" t="s">
        <v>8</v>
      </c>
      <c r="AI10" s="99" t="s">
        <v>3</v>
      </c>
      <c r="AJ10" s="19"/>
      <c r="AK10" s="110" t="s">
        <v>6</v>
      </c>
      <c r="AL10" s="20" t="s">
        <v>7</v>
      </c>
      <c r="AM10" s="113" t="s">
        <v>6</v>
      </c>
    </row>
    <row r="11" spans="1:39" s="3" customFormat="1" ht="42" customHeight="1" thickBot="1">
      <c r="A11"/>
      <c r="B11" s="153"/>
      <c r="C11" s="150"/>
      <c r="D11" s="151"/>
      <c r="E11" s="61" t="s">
        <v>9</v>
      </c>
      <c r="F11" s="66" t="s">
        <v>12</v>
      </c>
      <c r="G11" s="69" t="s">
        <v>51</v>
      </c>
      <c r="H11" s="88"/>
      <c r="I11" s="161"/>
      <c r="J11" s="165"/>
      <c r="K11" s="164"/>
      <c r="L11" s="69" t="s">
        <v>52</v>
      </c>
      <c r="M11" s="66" t="s">
        <v>12</v>
      </c>
      <c r="N11" s="69" t="s">
        <v>51</v>
      </c>
      <c r="O11" s="121"/>
      <c r="P11" s="68"/>
      <c r="Q11" s="158"/>
      <c r="R11" s="156"/>
      <c r="S11" s="69" t="s">
        <v>52</v>
      </c>
      <c r="T11" s="66" t="s">
        <v>12</v>
      </c>
      <c r="U11" s="69" t="s">
        <v>49</v>
      </c>
      <c r="V11" s="69" t="s">
        <v>51</v>
      </c>
      <c r="X11" s="161"/>
      <c r="Y11" s="165"/>
      <c r="Z11" s="164"/>
      <c r="AA11" s="69" t="s">
        <v>9</v>
      </c>
      <c r="AB11" s="69" t="s">
        <v>9</v>
      </c>
      <c r="AC11" s="66" t="s">
        <v>12</v>
      </c>
      <c r="AD11" s="67" t="s">
        <v>10</v>
      </c>
      <c r="AI11" s="21"/>
      <c r="AJ11" s="22"/>
      <c r="AK11" s="69" t="s">
        <v>52</v>
      </c>
      <c r="AL11" s="72" t="s">
        <v>12</v>
      </c>
      <c r="AM11" s="114" t="s">
        <v>51</v>
      </c>
    </row>
    <row r="12" spans="1:39" s="3" customFormat="1" ht="18" customHeight="1">
      <c r="A12"/>
      <c r="B12" s="29"/>
      <c r="C12" s="30"/>
      <c r="D12" s="30"/>
      <c r="E12" s="73" t="s">
        <v>50</v>
      </c>
      <c r="F12" s="30"/>
      <c r="G12" s="31"/>
      <c r="H12" s="49"/>
      <c r="I12" s="32"/>
      <c r="J12" s="30"/>
      <c r="K12" s="30"/>
      <c r="L12" s="73" t="s">
        <v>50</v>
      </c>
      <c r="M12" s="30"/>
      <c r="N12" s="31"/>
      <c r="O12" s="49"/>
      <c r="P12" s="32"/>
      <c r="Q12" s="30"/>
      <c r="R12" s="30"/>
      <c r="S12" s="73" t="s">
        <v>50</v>
      </c>
      <c r="T12" s="33"/>
      <c r="U12" s="30"/>
      <c r="V12" s="31"/>
      <c r="X12" s="32"/>
      <c r="Y12" s="30"/>
      <c r="Z12" s="30"/>
      <c r="AA12" s="73" t="s">
        <v>36</v>
      </c>
      <c r="AB12" s="73" t="s">
        <v>39</v>
      </c>
      <c r="AC12" s="30"/>
      <c r="AD12" s="31"/>
      <c r="AI12" s="100">
        <v>89</v>
      </c>
      <c r="AJ12" s="83" t="s">
        <v>19</v>
      </c>
      <c r="AK12" s="73"/>
      <c r="AL12" s="131">
        <f>AK13*20%</f>
        <v>24</v>
      </c>
      <c r="AM12" s="129">
        <f>AL12+AK13</f>
        <v>144</v>
      </c>
    </row>
    <row r="13" spans="1:39" s="3" customFormat="1" ht="39.75" customHeight="1" thickBot="1">
      <c r="A13"/>
      <c r="B13" s="82">
        <v>1</v>
      </c>
      <c r="C13" s="81">
        <v>0</v>
      </c>
      <c r="D13" s="12" t="s">
        <v>32</v>
      </c>
      <c r="E13" s="103">
        <f>E19*1.1</f>
        <v>171.60000000000002</v>
      </c>
      <c r="F13" s="105">
        <f>E13*20%</f>
        <v>34.32000000000001</v>
      </c>
      <c r="G13" s="104">
        <f>F13+E13</f>
        <v>205.92000000000002</v>
      </c>
      <c r="H13" s="89"/>
      <c r="I13" s="11">
        <v>41</v>
      </c>
      <c r="J13" s="12">
        <v>1</v>
      </c>
      <c r="K13" s="12" t="s">
        <v>32</v>
      </c>
      <c r="L13" s="105">
        <f>L18*1.1-0.04</f>
        <v>200.60000000000002</v>
      </c>
      <c r="M13" s="105">
        <f>L13*20%</f>
        <v>40.120000000000005</v>
      </c>
      <c r="N13" s="104">
        <f>M13+L13</f>
        <v>240.72000000000003</v>
      </c>
      <c r="O13" s="122"/>
      <c r="P13" s="11">
        <v>65</v>
      </c>
      <c r="Q13" s="12">
        <v>1</v>
      </c>
      <c r="R13" s="12" t="s">
        <v>32</v>
      </c>
      <c r="S13" s="105">
        <f>S17*1.1+0.04</f>
        <v>122.80000000000001</v>
      </c>
      <c r="T13" s="105">
        <f>S13*20%</f>
        <v>24.560000000000002</v>
      </c>
      <c r="U13" s="111" t="e">
        <f>#REF!*1.2</f>
        <v>#REF!</v>
      </c>
      <c r="V13" s="104">
        <f>T13+S13</f>
        <v>147.36</v>
      </c>
      <c r="X13" s="11">
        <v>41</v>
      </c>
      <c r="Y13" s="12">
        <v>1</v>
      </c>
      <c r="Z13" s="12" t="s">
        <v>32</v>
      </c>
      <c r="AA13" s="10">
        <v>1376100</v>
      </c>
      <c r="AB13" s="10">
        <f>AB18*1.1+400</f>
        <v>1376500</v>
      </c>
      <c r="AC13" s="10">
        <f>AB13*20%</f>
        <v>275300</v>
      </c>
      <c r="AD13" s="34">
        <f>AC13+AB13</f>
        <v>1651800</v>
      </c>
      <c r="AI13" s="23"/>
      <c r="AJ13" s="78" t="s">
        <v>35</v>
      </c>
      <c r="AK13" s="109">
        <v>120</v>
      </c>
      <c r="AL13" s="132"/>
      <c r="AM13" s="130"/>
    </row>
    <row r="14" spans="1:39" s="3" customFormat="1" ht="14.25" customHeight="1">
      <c r="A14"/>
      <c r="B14" s="11">
        <v>2</v>
      </c>
      <c r="C14" s="12">
        <v>1</v>
      </c>
      <c r="D14" s="12" t="s">
        <v>32</v>
      </c>
      <c r="E14" s="105">
        <f>E20*1.1</f>
        <v>132</v>
      </c>
      <c r="F14" s="105">
        <f aca="true" t="shared" si="0" ref="F14:F35">E14*20%</f>
        <v>26.400000000000002</v>
      </c>
      <c r="G14" s="104">
        <f aca="true" t="shared" si="1" ref="G14:G28">F14+E14</f>
        <v>158.4</v>
      </c>
      <c r="H14" s="89"/>
      <c r="I14" s="11">
        <v>42</v>
      </c>
      <c r="J14" s="12">
        <v>2</v>
      </c>
      <c r="K14" s="12" t="s">
        <v>32</v>
      </c>
      <c r="L14" s="105">
        <f>L19*1.1</f>
        <v>167.20000000000002</v>
      </c>
      <c r="M14" s="105">
        <f>L14*20%</f>
        <v>33.440000000000005</v>
      </c>
      <c r="N14" s="104">
        <f>M14+L14</f>
        <v>200.64000000000001</v>
      </c>
      <c r="O14" s="122"/>
      <c r="P14" s="11">
        <v>66</v>
      </c>
      <c r="Q14" s="12">
        <v>2</v>
      </c>
      <c r="R14" s="12" t="s">
        <v>32</v>
      </c>
      <c r="S14" s="105">
        <f>S18*1.1</f>
        <v>102.30000000000001</v>
      </c>
      <c r="T14" s="105">
        <f aca="true" t="shared" si="2" ref="T14:T27">S14*20%</f>
        <v>20.460000000000004</v>
      </c>
      <c r="U14" s="111" t="e">
        <f>#REF!*1.2</f>
        <v>#REF!</v>
      </c>
      <c r="V14" s="104">
        <f aca="true" t="shared" si="3" ref="V14:V27">T14+S14</f>
        <v>122.76000000000002</v>
      </c>
      <c r="X14" s="11">
        <v>42</v>
      </c>
      <c r="Y14" s="12">
        <v>2</v>
      </c>
      <c r="Z14" s="12" t="s">
        <v>32</v>
      </c>
      <c r="AA14" s="10">
        <v>1146750</v>
      </c>
      <c r="AB14" s="10">
        <f>AB19*1.1</f>
        <v>1146750</v>
      </c>
      <c r="AC14" s="10">
        <f>AB14*20%</f>
        <v>229350</v>
      </c>
      <c r="AD14" s="34">
        <f>AC14+AB14</f>
        <v>1376100</v>
      </c>
      <c r="AI14" s="59">
        <v>90</v>
      </c>
      <c r="AJ14" s="83" t="s">
        <v>21</v>
      </c>
      <c r="AK14" s="112"/>
      <c r="AL14" s="131">
        <f>AK15*20%</f>
        <v>20</v>
      </c>
      <c r="AM14" s="129">
        <f>AL14+AK15</f>
        <v>120</v>
      </c>
    </row>
    <row r="15" spans="1:39" s="3" customFormat="1" ht="36" customHeight="1" thickBot="1">
      <c r="A15"/>
      <c r="B15" s="11">
        <v>3</v>
      </c>
      <c r="C15" s="12">
        <v>2</v>
      </c>
      <c r="D15" s="12" t="s">
        <v>32</v>
      </c>
      <c r="E15" s="105">
        <f>E21*1.1</f>
        <v>110.00000000000001</v>
      </c>
      <c r="F15" s="105">
        <f t="shared" si="0"/>
        <v>22.000000000000004</v>
      </c>
      <c r="G15" s="104">
        <f t="shared" si="1"/>
        <v>132.00000000000003</v>
      </c>
      <c r="H15" s="89"/>
      <c r="I15" s="11">
        <v>43</v>
      </c>
      <c r="J15" s="12">
        <v>3</v>
      </c>
      <c r="K15" s="12" t="s">
        <v>32</v>
      </c>
      <c r="L15" s="105">
        <f>L20*1.1+0.04</f>
        <v>133.8</v>
      </c>
      <c r="M15" s="105">
        <f>L15*20%</f>
        <v>26.760000000000005</v>
      </c>
      <c r="N15" s="104">
        <f>M15+L15</f>
        <v>160.56</v>
      </c>
      <c r="O15" s="122"/>
      <c r="P15" s="11">
        <v>67</v>
      </c>
      <c r="Q15" s="12">
        <v>3</v>
      </c>
      <c r="R15" s="12" t="s">
        <v>32</v>
      </c>
      <c r="S15" s="105">
        <f>S19*1.1-0.04</f>
        <v>81.80000000000001</v>
      </c>
      <c r="T15" s="105">
        <f t="shared" si="2"/>
        <v>16.360000000000003</v>
      </c>
      <c r="U15" s="111" t="e">
        <f>#REF!*1.2</f>
        <v>#REF!</v>
      </c>
      <c r="V15" s="104">
        <f t="shared" si="3"/>
        <v>98.16000000000001</v>
      </c>
      <c r="X15" s="11">
        <v>43</v>
      </c>
      <c r="Y15" s="12">
        <v>3</v>
      </c>
      <c r="Z15" s="12" t="s">
        <v>32</v>
      </c>
      <c r="AA15" s="10">
        <v>917400</v>
      </c>
      <c r="AB15" s="10">
        <f>AB20*1.1+100</f>
        <v>917500.0000000001</v>
      </c>
      <c r="AC15" s="10">
        <f>AB15*20%</f>
        <v>183500.00000000003</v>
      </c>
      <c r="AD15" s="34">
        <f>AC15+AB15</f>
        <v>1101000.0000000002</v>
      </c>
      <c r="AI15" s="58"/>
      <c r="AJ15" s="78" t="s">
        <v>35</v>
      </c>
      <c r="AK15" s="109">
        <v>100</v>
      </c>
      <c r="AL15" s="132"/>
      <c r="AM15" s="130"/>
    </row>
    <row r="16" spans="1:39" s="3" customFormat="1" ht="14.25" customHeight="1">
      <c r="A16"/>
      <c r="B16" s="11">
        <v>4</v>
      </c>
      <c r="C16" s="12">
        <v>3</v>
      </c>
      <c r="D16" s="12" t="s">
        <v>32</v>
      </c>
      <c r="E16" s="105">
        <f>E22*1.1</f>
        <v>88</v>
      </c>
      <c r="F16" s="105">
        <f t="shared" si="0"/>
        <v>17.6</v>
      </c>
      <c r="G16" s="104">
        <f t="shared" si="1"/>
        <v>105.6</v>
      </c>
      <c r="H16" s="89"/>
      <c r="I16" s="11"/>
      <c r="J16" s="12"/>
      <c r="K16" s="12"/>
      <c r="L16" s="105"/>
      <c r="M16" s="105"/>
      <c r="N16" s="104"/>
      <c r="O16" s="122"/>
      <c r="P16" s="35"/>
      <c r="Q16" s="36"/>
      <c r="R16" s="36"/>
      <c r="S16" s="105"/>
      <c r="T16" s="105"/>
      <c r="U16" s="111"/>
      <c r="V16" s="104"/>
      <c r="X16" s="11"/>
      <c r="Y16" s="12"/>
      <c r="Z16" s="12"/>
      <c r="AA16" s="10"/>
      <c r="AB16" s="10"/>
      <c r="AC16" s="10"/>
      <c r="AD16" s="34"/>
      <c r="AI16" s="59">
        <v>91</v>
      </c>
      <c r="AJ16" s="83" t="s">
        <v>22</v>
      </c>
      <c r="AK16" s="112"/>
      <c r="AL16" s="131">
        <f>AK17*20%</f>
        <v>16</v>
      </c>
      <c r="AM16" s="129">
        <f>AL16+AK17</f>
        <v>96</v>
      </c>
    </row>
    <row r="17" spans="1:39" s="3" customFormat="1" ht="36.75" customHeight="1" thickBot="1">
      <c r="A17"/>
      <c r="B17" s="11">
        <v>5</v>
      </c>
      <c r="C17" s="12">
        <v>4</v>
      </c>
      <c r="D17" s="12" t="s">
        <v>32</v>
      </c>
      <c r="E17" s="105">
        <f>E23*1.1</f>
        <v>61.600000000000016</v>
      </c>
      <c r="F17" s="105">
        <f t="shared" si="0"/>
        <v>12.320000000000004</v>
      </c>
      <c r="G17" s="104">
        <f t="shared" si="1"/>
        <v>73.92000000000002</v>
      </c>
      <c r="H17" s="89"/>
      <c r="I17" s="35"/>
      <c r="J17" s="36"/>
      <c r="K17" s="36"/>
      <c r="L17" s="105"/>
      <c r="M17" s="105"/>
      <c r="N17" s="104"/>
      <c r="O17" s="122"/>
      <c r="P17" s="11">
        <v>68</v>
      </c>
      <c r="Q17" s="12">
        <v>1</v>
      </c>
      <c r="R17" s="12" t="s">
        <v>33</v>
      </c>
      <c r="S17" s="105">
        <f>S18*1.2</f>
        <v>111.6</v>
      </c>
      <c r="T17" s="105">
        <f t="shared" si="2"/>
        <v>22.32</v>
      </c>
      <c r="U17" s="111" t="e">
        <f>#REF!*1.2</f>
        <v>#REF!</v>
      </c>
      <c r="V17" s="104">
        <f t="shared" si="3"/>
        <v>133.92</v>
      </c>
      <c r="X17" s="35"/>
      <c r="Y17" s="36"/>
      <c r="Z17" s="36"/>
      <c r="AA17" s="10"/>
      <c r="AB17" s="10"/>
      <c r="AC17" s="10"/>
      <c r="AD17" s="34"/>
      <c r="AI17" s="58"/>
      <c r="AJ17" s="78" t="s">
        <v>35</v>
      </c>
      <c r="AK17" s="109">
        <v>80</v>
      </c>
      <c r="AL17" s="132"/>
      <c r="AM17" s="130"/>
    </row>
    <row r="18" spans="1:39" s="3" customFormat="1" ht="19.5" customHeight="1">
      <c r="A18"/>
      <c r="B18" s="35"/>
      <c r="C18" s="36"/>
      <c r="D18" s="36"/>
      <c r="E18" s="103"/>
      <c r="F18" s="105"/>
      <c r="G18" s="104"/>
      <c r="H18" s="89"/>
      <c r="I18" s="11">
        <v>44</v>
      </c>
      <c r="J18" s="12">
        <v>1</v>
      </c>
      <c r="K18" s="12" t="s">
        <v>33</v>
      </c>
      <c r="L18" s="105">
        <f>L19*1.2</f>
        <v>182.4</v>
      </c>
      <c r="M18" s="105">
        <f>L18*20%</f>
        <v>36.480000000000004</v>
      </c>
      <c r="N18" s="104">
        <f>M18+L18</f>
        <v>218.88</v>
      </c>
      <c r="O18" s="122"/>
      <c r="P18" s="11">
        <v>69</v>
      </c>
      <c r="Q18" s="12">
        <v>2</v>
      </c>
      <c r="R18" s="12" t="s">
        <v>33</v>
      </c>
      <c r="S18" s="105">
        <v>93</v>
      </c>
      <c r="T18" s="105">
        <f t="shared" si="2"/>
        <v>18.6</v>
      </c>
      <c r="U18" s="111" t="e">
        <f>#REF!*1.2</f>
        <v>#REF!</v>
      </c>
      <c r="V18" s="104">
        <f t="shared" si="3"/>
        <v>111.6</v>
      </c>
      <c r="X18" s="11">
        <v>44</v>
      </c>
      <c r="Y18" s="12">
        <v>1</v>
      </c>
      <c r="Z18" s="12" t="s">
        <v>33</v>
      </c>
      <c r="AA18" s="10">
        <v>1251000</v>
      </c>
      <c r="AB18" s="10">
        <f>AB19*1.2</f>
        <v>1251000</v>
      </c>
      <c r="AC18" s="10">
        <f>AB18*20%</f>
        <v>250200</v>
      </c>
      <c r="AD18" s="34">
        <f>AC18+AB18</f>
        <v>1501200</v>
      </c>
      <c r="AI18" s="59">
        <v>92</v>
      </c>
      <c r="AJ18" s="83" t="s">
        <v>23</v>
      </c>
      <c r="AK18" s="112"/>
      <c r="AL18" s="131">
        <f>AK19*20%</f>
        <v>11.200000000000001</v>
      </c>
      <c r="AM18" s="129">
        <f>AL18+AK19</f>
        <v>67.2</v>
      </c>
    </row>
    <row r="19" spans="1:39" s="3" customFormat="1" ht="33.75" customHeight="1" thickBot="1">
      <c r="A19"/>
      <c r="B19" s="11">
        <v>6</v>
      </c>
      <c r="C19" s="12">
        <v>0</v>
      </c>
      <c r="D19" s="12" t="s">
        <v>33</v>
      </c>
      <c r="E19" s="105">
        <f>E21*1.56</f>
        <v>156</v>
      </c>
      <c r="F19" s="105">
        <f t="shared" si="0"/>
        <v>31.200000000000003</v>
      </c>
      <c r="G19" s="104">
        <f t="shared" si="1"/>
        <v>187.2</v>
      </c>
      <c r="H19" s="89"/>
      <c r="I19" s="11">
        <v>45</v>
      </c>
      <c r="J19" s="12">
        <v>2</v>
      </c>
      <c r="K19" s="12" t="s">
        <v>33</v>
      </c>
      <c r="L19" s="105">
        <v>152</v>
      </c>
      <c r="M19" s="105">
        <f>L19*20%</f>
        <v>30.400000000000002</v>
      </c>
      <c r="N19" s="104">
        <f>M19+L19</f>
        <v>182.4</v>
      </c>
      <c r="O19" s="122"/>
      <c r="P19" s="11">
        <v>70</v>
      </c>
      <c r="Q19" s="12">
        <v>3</v>
      </c>
      <c r="R19" s="12" t="s">
        <v>33</v>
      </c>
      <c r="S19" s="105">
        <f>S18*0.8</f>
        <v>74.4</v>
      </c>
      <c r="T19" s="105">
        <f t="shared" si="2"/>
        <v>14.880000000000003</v>
      </c>
      <c r="U19" s="111" t="e">
        <f>#REF!*1.2</f>
        <v>#REF!</v>
      </c>
      <c r="V19" s="104">
        <f t="shared" si="3"/>
        <v>89.28</v>
      </c>
      <c r="X19" s="11">
        <v>45</v>
      </c>
      <c r="Y19" s="12">
        <v>2</v>
      </c>
      <c r="Z19" s="12" t="s">
        <v>33</v>
      </c>
      <c r="AA19" s="10">
        <v>1042500</v>
      </c>
      <c r="AB19" s="10">
        <v>1042500</v>
      </c>
      <c r="AC19" s="10">
        <f>AB19*20%</f>
        <v>208500</v>
      </c>
      <c r="AD19" s="34">
        <f>AC19+AB19</f>
        <v>1251000</v>
      </c>
      <c r="AI19" s="58"/>
      <c r="AJ19" s="78" t="s">
        <v>35</v>
      </c>
      <c r="AK19" s="109">
        <v>56</v>
      </c>
      <c r="AL19" s="132"/>
      <c r="AM19" s="130"/>
    </row>
    <row r="20" spans="1:39" s="3" customFormat="1" ht="15.75">
      <c r="A20"/>
      <c r="B20" s="11">
        <v>7</v>
      </c>
      <c r="C20" s="12">
        <v>1</v>
      </c>
      <c r="D20" s="12" t="s">
        <v>33</v>
      </c>
      <c r="E20" s="105">
        <f>E21*1.2</f>
        <v>120</v>
      </c>
      <c r="F20" s="105">
        <f t="shared" si="0"/>
        <v>24</v>
      </c>
      <c r="G20" s="104">
        <f t="shared" si="1"/>
        <v>144</v>
      </c>
      <c r="H20" s="89"/>
      <c r="I20" s="11">
        <v>46</v>
      </c>
      <c r="J20" s="12">
        <v>3</v>
      </c>
      <c r="K20" s="12" t="s">
        <v>33</v>
      </c>
      <c r="L20" s="105">
        <f>L19*0.8</f>
        <v>121.60000000000001</v>
      </c>
      <c r="M20" s="105">
        <f>L20*20%</f>
        <v>24.320000000000004</v>
      </c>
      <c r="N20" s="104">
        <f>M20+L20</f>
        <v>145.92000000000002</v>
      </c>
      <c r="O20" s="122"/>
      <c r="P20" s="35"/>
      <c r="Q20" s="36"/>
      <c r="R20" s="36"/>
      <c r="S20" s="105"/>
      <c r="T20" s="105"/>
      <c r="U20" s="111"/>
      <c r="V20" s="104"/>
      <c r="X20" s="11">
        <v>46</v>
      </c>
      <c r="Y20" s="12">
        <v>3</v>
      </c>
      <c r="Z20" s="12" t="s">
        <v>33</v>
      </c>
      <c r="AA20" s="10">
        <v>834000</v>
      </c>
      <c r="AB20" s="10">
        <f>AB19*0.8</f>
        <v>834000</v>
      </c>
      <c r="AC20" s="10">
        <f>AB20*20%</f>
        <v>166800</v>
      </c>
      <c r="AD20" s="34">
        <f>AC20+AB20</f>
        <v>1000800</v>
      </c>
      <c r="AI20" s="101">
        <v>93</v>
      </c>
      <c r="AJ20" s="24" t="s">
        <v>20</v>
      </c>
      <c r="AK20" s="112"/>
      <c r="AL20" s="131">
        <f>AK21*20%</f>
        <v>30.24</v>
      </c>
      <c r="AM20" s="129">
        <f>AL20+AK21</f>
        <v>181.44</v>
      </c>
    </row>
    <row r="21" spans="1:39" s="3" customFormat="1" ht="39" customHeight="1" thickBot="1">
      <c r="A21"/>
      <c r="B21" s="11">
        <v>8</v>
      </c>
      <c r="C21" s="12">
        <v>2</v>
      </c>
      <c r="D21" s="12" t="s">
        <v>33</v>
      </c>
      <c r="E21" s="103">
        <v>100</v>
      </c>
      <c r="F21" s="105">
        <f t="shared" si="0"/>
        <v>20</v>
      </c>
      <c r="G21" s="104">
        <f t="shared" si="1"/>
        <v>120</v>
      </c>
      <c r="H21" s="89"/>
      <c r="I21" s="11"/>
      <c r="J21" s="12"/>
      <c r="K21" s="12"/>
      <c r="L21" s="105"/>
      <c r="M21" s="105"/>
      <c r="N21" s="104"/>
      <c r="O21" s="122"/>
      <c r="P21" s="11">
        <v>71</v>
      </c>
      <c r="Q21" s="12">
        <v>1</v>
      </c>
      <c r="R21" s="12" t="s">
        <v>34</v>
      </c>
      <c r="S21" s="105">
        <f>S17*1.2-0.02</f>
        <v>133.89999999999998</v>
      </c>
      <c r="T21" s="105">
        <f t="shared" si="2"/>
        <v>26.779999999999998</v>
      </c>
      <c r="U21" s="111" t="e">
        <f>#REF!*1.2</f>
        <v>#REF!</v>
      </c>
      <c r="V21" s="104">
        <f t="shared" si="3"/>
        <v>160.67999999999998</v>
      </c>
      <c r="X21" s="11"/>
      <c r="Y21" s="12"/>
      <c r="Z21" s="12"/>
      <c r="AA21" s="10"/>
      <c r="AB21" s="10"/>
      <c r="AC21" s="10"/>
      <c r="AD21" s="34"/>
      <c r="AI21" s="25"/>
      <c r="AJ21" s="79" t="s">
        <v>35</v>
      </c>
      <c r="AK21" s="109">
        <v>151.2</v>
      </c>
      <c r="AL21" s="132"/>
      <c r="AM21" s="130"/>
    </row>
    <row r="22" spans="1:39" s="3" customFormat="1" ht="15.75">
      <c r="A22"/>
      <c r="B22" s="11">
        <v>9</v>
      </c>
      <c r="C22" s="12">
        <v>3</v>
      </c>
      <c r="D22" s="12" t="s">
        <v>33</v>
      </c>
      <c r="E22" s="105">
        <f>E21*0.8</f>
        <v>80</v>
      </c>
      <c r="F22" s="105">
        <f t="shared" si="0"/>
        <v>16</v>
      </c>
      <c r="G22" s="104">
        <f t="shared" si="1"/>
        <v>96</v>
      </c>
      <c r="H22" s="89"/>
      <c r="I22" s="35"/>
      <c r="J22" s="36"/>
      <c r="K22" s="36"/>
      <c r="L22" s="105"/>
      <c r="M22" s="105"/>
      <c r="N22" s="104"/>
      <c r="O22" s="122"/>
      <c r="P22" s="11">
        <v>72</v>
      </c>
      <c r="Q22" s="12">
        <v>2</v>
      </c>
      <c r="R22" s="12" t="s">
        <v>34</v>
      </c>
      <c r="S22" s="105">
        <f>S18*1.2</f>
        <v>111.6</v>
      </c>
      <c r="T22" s="105">
        <f t="shared" si="2"/>
        <v>22.32</v>
      </c>
      <c r="U22" s="111" t="e">
        <f>#REF!*1.2</f>
        <v>#REF!</v>
      </c>
      <c r="V22" s="104">
        <f t="shared" si="3"/>
        <v>133.92</v>
      </c>
      <c r="X22" s="35"/>
      <c r="Y22" s="36"/>
      <c r="Z22" s="36"/>
      <c r="AA22" s="10"/>
      <c r="AB22" s="10"/>
      <c r="AC22" s="10"/>
      <c r="AD22" s="34"/>
      <c r="AI22" s="101">
        <v>94</v>
      </c>
      <c r="AJ22" s="24" t="s">
        <v>24</v>
      </c>
      <c r="AK22" s="112"/>
      <c r="AL22" s="131">
        <f>AK23*20%</f>
        <v>25.200000000000003</v>
      </c>
      <c r="AM22" s="129">
        <f>AL22+AK23</f>
        <v>151.2</v>
      </c>
    </row>
    <row r="23" spans="1:39" s="3" customFormat="1" ht="39" thickBot="1">
      <c r="A23"/>
      <c r="B23" s="11">
        <v>10</v>
      </c>
      <c r="C23" s="12">
        <v>4</v>
      </c>
      <c r="D23" s="12" t="s">
        <v>33</v>
      </c>
      <c r="E23" s="105">
        <f>E21*0.56</f>
        <v>56.00000000000001</v>
      </c>
      <c r="F23" s="105">
        <f t="shared" si="0"/>
        <v>11.200000000000003</v>
      </c>
      <c r="G23" s="104">
        <f t="shared" si="1"/>
        <v>67.20000000000002</v>
      </c>
      <c r="H23" s="89"/>
      <c r="I23" s="11">
        <v>47</v>
      </c>
      <c r="J23" s="12">
        <v>1</v>
      </c>
      <c r="K23" s="12" t="s">
        <v>34</v>
      </c>
      <c r="L23" s="105">
        <f>L18*1.2+0.02</f>
        <v>218.9</v>
      </c>
      <c r="M23" s="105">
        <f>L23*20%</f>
        <v>43.78</v>
      </c>
      <c r="N23" s="104">
        <f>M23+L23</f>
        <v>262.68</v>
      </c>
      <c r="O23" s="122"/>
      <c r="P23" s="11">
        <v>73</v>
      </c>
      <c r="Q23" s="12">
        <v>3</v>
      </c>
      <c r="R23" s="12" t="s">
        <v>34</v>
      </c>
      <c r="S23" s="105">
        <f>S19*1.2+0.02</f>
        <v>89.3</v>
      </c>
      <c r="T23" s="105">
        <f t="shared" si="2"/>
        <v>17.86</v>
      </c>
      <c r="U23" s="111" t="e">
        <f>#REF!*1.2</f>
        <v>#REF!</v>
      </c>
      <c r="V23" s="104">
        <f t="shared" si="3"/>
        <v>107.16</v>
      </c>
      <c r="X23" s="11">
        <v>47</v>
      </c>
      <c r="Y23" s="12">
        <v>1</v>
      </c>
      <c r="Z23" s="12" t="s">
        <v>34</v>
      </c>
      <c r="AA23" s="10">
        <v>1501200</v>
      </c>
      <c r="AB23" s="10">
        <f>AB18*1.2+300</f>
        <v>1501500</v>
      </c>
      <c r="AC23" s="10">
        <f>AB23*20%</f>
        <v>300300</v>
      </c>
      <c r="AD23" s="34">
        <f>AC23+AB23</f>
        <v>1801800</v>
      </c>
      <c r="AI23" s="60"/>
      <c r="AJ23" s="78" t="s">
        <v>35</v>
      </c>
      <c r="AK23" s="109">
        <v>126</v>
      </c>
      <c r="AL23" s="132"/>
      <c r="AM23" s="130"/>
    </row>
    <row r="24" spans="1:39" s="3" customFormat="1" ht="15.75">
      <c r="A24"/>
      <c r="B24" s="35"/>
      <c r="C24" s="36"/>
      <c r="D24" s="36"/>
      <c r="E24" s="103"/>
      <c r="F24" s="105"/>
      <c r="G24" s="104"/>
      <c r="H24" s="89"/>
      <c r="I24" s="11">
        <v>48</v>
      </c>
      <c r="J24" s="12">
        <v>2</v>
      </c>
      <c r="K24" s="12" t="s">
        <v>34</v>
      </c>
      <c r="L24" s="105">
        <f>L19*1.2</f>
        <v>182.4</v>
      </c>
      <c r="M24" s="105">
        <f>L24*20%</f>
        <v>36.480000000000004</v>
      </c>
      <c r="N24" s="104">
        <f>M24+L24</f>
        <v>218.88</v>
      </c>
      <c r="O24" s="122"/>
      <c r="P24" s="37"/>
      <c r="Q24" s="1"/>
      <c r="R24" s="1"/>
      <c r="S24" s="105"/>
      <c r="T24" s="105"/>
      <c r="U24" s="111"/>
      <c r="V24" s="104"/>
      <c r="X24" s="11">
        <v>48</v>
      </c>
      <c r="Y24" s="12">
        <v>2</v>
      </c>
      <c r="Z24" s="12" t="s">
        <v>34</v>
      </c>
      <c r="AA24" s="10">
        <v>1251000</v>
      </c>
      <c r="AB24" s="10">
        <f>AB19*1.2</f>
        <v>1251000</v>
      </c>
      <c r="AC24" s="10">
        <f>AB24*20%</f>
        <v>250200</v>
      </c>
      <c r="AD24" s="34">
        <f>AC24+AB24</f>
        <v>1501200</v>
      </c>
      <c r="AI24" s="101">
        <v>95</v>
      </c>
      <c r="AJ24" s="24" t="s">
        <v>25</v>
      </c>
      <c r="AK24" s="112"/>
      <c r="AL24" s="131">
        <f>AK25*20%</f>
        <v>20.16</v>
      </c>
      <c r="AM24" s="129">
        <f>AL24+AK25</f>
        <v>120.96</v>
      </c>
    </row>
    <row r="25" spans="1:39" s="3" customFormat="1" ht="39" thickBot="1">
      <c r="A25"/>
      <c r="B25" s="11">
        <v>11</v>
      </c>
      <c r="C25" s="12">
        <v>0</v>
      </c>
      <c r="D25" s="12" t="s">
        <v>34</v>
      </c>
      <c r="E25" s="105">
        <f>E19*1.2</f>
        <v>187.2</v>
      </c>
      <c r="F25" s="105">
        <f t="shared" si="0"/>
        <v>37.44</v>
      </c>
      <c r="G25" s="104">
        <f t="shared" si="1"/>
        <v>224.64</v>
      </c>
      <c r="H25" s="89"/>
      <c r="I25" s="11">
        <v>49</v>
      </c>
      <c r="J25" s="12">
        <v>3</v>
      </c>
      <c r="K25" s="12" t="s">
        <v>34</v>
      </c>
      <c r="L25" s="105">
        <f>L20*1.2-0.02</f>
        <v>145.9</v>
      </c>
      <c r="M25" s="105">
        <f>L25*20%</f>
        <v>29.180000000000003</v>
      </c>
      <c r="N25" s="104">
        <f>M25+L25</f>
        <v>175.08</v>
      </c>
      <c r="O25" s="122"/>
      <c r="P25" s="11">
        <v>74</v>
      </c>
      <c r="Q25" s="12">
        <v>1</v>
      </c>
      <c r="R25" s="12" t="s">
        <v>11</v>
      </c>
      <c r="S25" s="115">
        <f>S17*1.3+0.02</f>
        <v>145.1</v>
      </c>
      <c r="T25" s="105">
        <f t="shared" si="2"/>
        <v>29.02</v>
      </c>
      <c r="U25" s="111" t="e">
        <f>#REF!*1.2</f>
        <v>#REF!</v>
      </c>
      <c r="V25" s="104">
        <f t="shared" si="3"/>
        <v>174.12</v>
      </c>
      <c r="X25" s="11">
        <v>49</v>
      </c>
      <c r="Y25" s="12">
        <v>3</v>
      </c>
      <c r="Z25" s="12" t="s">
        <v>34</v>
      </c>
      <c r="AA25" s="10">
        <v>1000800</v>
      </c>
      <c r="AB25" s="10">
        <f>AB20*1.2+200</f>
        <v>1001000</v>
      </c>
      <c r="AC25" s="10">
        <f>AB25*20%</f>
        <v>200200</v>
      </c>
      <c r="AD25" s="34">
        <f>AC25+AB25</f>
        <v>1201200</v>
      </c>
      <c r="AI25" s="60"/>
      <c r="AJ25" s="78" t="s">
        <v>35</v>
      </c>
      <c r="AK25" s="109">
        <v>100.8</v>
      </c>
      <c r="AL25" s="132"/>
      <c r="AM25" s="130"/>
    </row>
    <row r="26" spans="1:39" s="3" customFormat="1" ht="15.75">
      <c r="A26"/>
      <c r="B26" s="11">
        <v>12</v>
      </c>
      <c r="C26" s="12">
        <v>1</v>
      </c>
      <c r="D26" s="12" t="s">
        <v>34</v>
      </c>
      <c r="E26" s="105">
        <f>E20*1.2</f>
        <v>144</v>
      </c>
      <c r="F26" s="105">
        <f t="shared" si="0"/>
        <v>28.8</v>
      </c>
      <c r="G26" s="104">
        <f t="shared" si="1"/>
        <v>172.8</v>
      </c>
      <c r="H26" s="89"/>
      <c r="I26" s="11"/>
      <c r="J26" s="12"/>
      <c r="K26" s="12"/>
      <c r="L26" s="105"/>
      <c r="M26" s="105"/>
      <c r="N26" s="104"/>
      <c r="O26" s="122"/>
      <c r="P26" s="11">
        <v>75</v>
      </c>
      <c r="Q26" s="12">
        <v>2</v>
      </c>
      <c r="R26" s="12" t="s">
        <v>11</v>
      </c>
      <c r="S26" s="115">
        <f>S18*1.3</f>
        <v>120.9</v>
      </c>
      <c r="T26" s="105">
        <f t="shared" si="2"/>
        <v>24.180000000000003</v>
      </c>
      <c r="U26" s="111" t="e">
        <f>#REF!*1.2</f>
        <v>#REF!</v>
      </c>
      <c r="V26" s="104">
        <f t="shared" si="3"/>
        <v>145.08</v>
      </c>
      <c r="X26" s="11"/>
      <c r="Y26" s="12"/>
      <c r="Z26" s="12"/>
      <c r="AA26" s="10"/>
      <c r="AB26" s="10"/>
      <c r="AC26" s="10"/>
      <c r="AD26" s="34"/>
      <c r="AI26" s="101">
        <v>96</v>
      </c>
      <c r="AJ26" s="24" t="s">
        <v>26</v>
      </c>
      <c r="AK26" s="112"/>
      <c r="AL26" s="131">
        <f>AK27*20%</f>
        <v>14.12</v>
      </c>
      <c r="AM26" s="129">
        <f>AL26+AK27</f>
        <v>84.72</v>
      </c>
    </row>
    <row r="27" spans="1:39" s="3" customFormat="1" ht="37.5" customHeight="1" thickBot="1">
      <c r="A27"/>
      <c r="B27" s="11">
        <v>13</v>
      </c>
      <c r="C27" s="12">
        <v>2</v>
      </c>
      <c r="D27" s="12" t="s">
        <v>34</v>
      </c>
      <c r="E27" s="105">
        <f>E21*1.2</f>
        <v>120</v>
      </c>
      <c r="F27" s="105">
        <f t="shared" si="0"/>
        <v>24</v>
      </c>
      <c r="G27" s="104">
        <f t="shared" si="1"/>
        <v>144</v>
      </c>
      <c r="H27" s="89"/>
      <c r="I27" s="37"/>
      <c r="J27" s="1"/>
      <c r="K27" s="1"/>
      <c r="L27" s="105"/>
      <c r="M27" s="105"/>
      <c r="N27" s="104"/>
      <c r="O27" s="122"/>
      <c r="P27" s="11">
        <v>76</v>
      </c>
      <c r="Q27" s="12">
        <v>3</v>
      </c>
      <c r="R27" s="12" t="s">
        <v>11</v>
      </c>
      <c r="S27" s="115">
        <f>S19*1.3-0.02</f>
        <v>96.70000000000002</v>
      </c>
      <c r="T27" s="105">
        <f t="shared" si="2"/>
        <v>19.340000000000003</v>
      </c>
      <c r="U27" s="111" t="e">
        <f>#REF!*1.2</f>
        <v>#REF!</v>
      </c>
      <c r="V27" s="104">
        <f t="shared" si="3"/>
        <v>116.04000000000002</v>
      </c>
      <c r="X27" s="37"/>
      <c r="Y27" s="1"/>
      <c r="Z27" s="1"/>
      <c r="AA27" s="10"/>
      <c r="AB27" s="10"/>
      <c r="AC27" s="10"/>
      <c r="AD27" s="34"/>
      <c r="AI27" s="60"/>
      <c r="AJ27" s="78" t="s">
        <v>35</v>
      </c>
      <c r="AK27" s="109">
        <v>70.6</v>
      </c>
      <c r="AL27" s="132"/>
      <c r="AM27" s="130"/>
    </row>
    <row r="28" spans="1:39" s="3" customFormat="1" ht="15.75">
      <c r="A28"/>
      <c r="B28" s="11">
        <v>14</v>
      </c>
      <c r="C28" s="12">
        <v>3</v>
      </c>
      <c r="D28" s="12" t="s">
        <v>34</v>
      </c>
      <c r="E28" s="105">
        <f>E22*1.2</f>
        <v>96</v>
      </c>
      <c r="F28" s="105">
        <f t="shared" si="0"/>
        <v>19.200000000000003</v>
      </c>
      <c r="G28" s="104">
        <f t="shared" si="1"/>
        <v>115.2</v>
      </c>
      <c r="H28" s="89"/>
      <c r="I28" s="11">
        <v>50</v>
      </c>
      <c r="J28" s="12">
        <v>1</v>
      </c>
      <c r="K28" s="12" t="s">
        <v>11</v>
      </c>
      <c r="L28" s="115">
        <f>L18*1.3-0.02</f>
        <v>237.1</v>
      </c>
      <c r="M28" s="105">
        <f>L28*20%</f>
        <v>47.42</v>
      </c>
      <c r="N28" s="104">
        <f>M28+L28</f>
        <v>284.52</v>
      </c>
      <c r="O28" s="122"/>
      <c r="P28" s="2"/>
      <c r="Q28" s="2"/>
      <c r="R28" s="2"/>
      <c r="S28" s="2"/>
      <c r="T28" s="2"/>
      <c r="U28" s="2"/>
      <c r="V28" s="2"/>
      <c r="X28" s="11">
        <v>50</v>
      </c>
      <c r="Y28" s="12">
        <v>1</v>
      </c>
      <c r="Z28" s="12" t="s">
        <v>11</v>
      </c>
      <c r="AA28" s="38">
        <v>1626300</v>
      </c>
      <c r="AB28" s="38">
        <f>AB18*1.3+200</f>
        <v>1626500</v>
      </c>
      <c r="AC28" s="10">
        <f>AB28*20%</f>
        <v>325300</v>
      </c>
      <c r="AD28" s="34">
        <f>AC28+AB28</f>
        <v>1951800</v>
      </c>
      <c r="AI28" s="102">
        <v>97</v>
      </c>
      <c r="AJ28" s="84" t="s">
        <v>14</v>
      </c>
      <c r="AK28" s="112"/>
      <c r="AL28" s="131">
        <f>AK29*20%</f>
        <v>23</v>
      </c>
      <c r="AM28" s="129">
        <f>AL28+AK29</f>
        <v>138</v>
      </c>
    </row>
    <row r="29" spans="1:39" s="3" customFormat="1" ht="16.5" thickBot="1">
      <c r="A29"/>
      <c r="B29" s="11">
        <v>15</v>
      </c>
      <c r="C29" s="12">
        <v>4</v>
      </c>
      <c r="D29" s="12" t="s">
        <v>34</v>
      </c>
      <c r="E29" s="105">
        <f>E23*1.2</f>
        <v>67.2</v>
      </c>
      <c r="F29" s="105">
        <f t="shared" si="0"/>
        <v>13.440000000000001</v>
      </c>
      <c r="G29" s="104">
        <f>F29+E29</f>
        <v>80.64</v>
      </c>
      <c r="H29" s="89"/>
      <c r="I29" s="11">
        <v>51</v>
      </c>
      <c r="J29" s="12">
        <v>2</v>
      </c>
      <c r="K29" s="12" t="s">
        <v>11</v>
      </c>
      <c r="L29" s="115">
        <f>L19*1.3</f>
        <v>197.6</v>
      </c>
      <c r="M29" s="105">
        <f>L29*20%</f>
        <v>39.52</v>
      </c>
      <c r="N29" s="104">
        <f>M29+L29</f>
        <v>237.12</v>
      </c>
      <c r="O29" s="122"/>
      <c r="X29" s="11">
        <v>51</v>
      </c>
      <c r="Y29" s="12">
        <v>2</v>
      </c>
      <c r="Z29" s="12" t="s">
        <v>11</v>
      </c>
      <c r="AA29" s="38">
        <v>1355250</v>
      </c>
      <c r="AB29" s="38">
        <f>AB19*1.3</f>
        <v>1355250</v>
      </c>
      <c r="AC29" s="10">
        <f>AB29*20%</f>
        <v>271050</v>
      </c>
      <c r="AD29" s="34">
        <f>AC29+AB29</f>
        <v>1626300</v>
      </c>
      <c r="AI29" s="23"/>
      <c r="AJ29" s="24" t="s">
        <v>15</v>
      </c>
      <c r="AK29" s="109">
        <v>115</v>
      </c>
      <c r="AL29" s="132"/>
      <c r="AM29" s="130"/>
    </row>
    <row r="30" spans="1:39" s="3" customFormat="1" ht="15.75">
      <c r="A30"/>
      <c r="B30" s="37"/>
      <c r="C30" s="1"/>
      <c r="D30" s="1"/>
      <c r="E30" s="103"/>
      <c r="F30" s="105"/>
      <c r="G30" s="104"/>
      <c r="H30" s="89"/>
      <c r="I30" s="11">
        <v>52</v>
      </c>
      <c r="J30" s="12">
        <v>3</v>
      </c>
      <c r="K30" s="12" t="s">
        <v>11</v>
      </c>
      <c r="L30" s="115">
        <f>L20*1.3+0.02</f>
        <v>158.10000000000002</v>
      </c>
      <c r="M30" s="105">
        <f>L30*20%</f>
        <v>31.620000000000005</v>
      </c>
      <c r="N30" s="104">
        <f>M30+L30</f>
        <v>189.72000000000003</v>
      </c>
      <c r="O30" s="122"/>
      <c r="X30" s="11">
        <v>52</v>
      </c>
      <c r="Y30" s="12">
        <v>3</v>
      </c>
      <c r="Z30" s="12" t="s">
        <v>11</v>
      </c>
      <c r="AA30" s="38">
        <v>1084200</v>
      </c>
      <c r="AB30" s="38">
        <f>AB20*1.3+300</f>
        <v>1084500</v>
      </c>
      <c r="AC30" s="10">
        <f>AB30*20%</f>
        <v>216900</v>
      </c>
      <c r="AD30" s="34">
        <f>AC30+AB30</f>
        <v>1301400</v>
      </c>
      <c r="AI30" s="101">
        <v>98</v>
      </c>
      <c r="AJ30" s="24" t="s">
        <v>16</v>
      </c>
      <c r="AK30" s="112"/>
      <c r="AL30" s="131">
        <f>AK31*20%</f>
        <v>24</v>
      </c>
      <c r="AM30" s="129">
        <f>AL30+AK31</f>
        <v>144</v>
      </c>
    </row>
    <row r="31" spans="1:39" s="3" customFormat="1" ht="16.5" thickBot="1">
      <c r="A31"/>
      <c r="B31" s="82">
        <v>16</v>
      </c>
      <c r="C31" s="80">
        <v>0</v>
      </c>
      <c r="D31" s="12" t="s">
        <v>11</v>
      </c>
      <c r="E31" s="105">
        <f>E19*1.3</f>
        <v>202.8</v>
      </c>
      <c r="F31" s="105">
        <f t="shared" si="0"/>
        <v>40.56</v>
      </c>
      <c r="G31" s="104">
        <f>F31+E31</f>
        <v>243.36</v>
      </c>
      <c r="H31" s="89"/>
      <c r="I31" s="7"/>
      <c r="J31" s="8"/>
      <c r="K31" s="8"/>
      <c r="L31" s="39"/>
      <c r="M31" s="40"/>
      <c r="N31" s="41"/>
      <c r="O31" s="89"/>
      <c r="X31" s="7"/>
      <c r="Y31" s="8"/>
      <c r="Z31" s="8"/>
      <c r="AA31" s="39"/>
      <c r="AB31" s="39"/>
      <c r="AC31" s="40"/>
      <c r="AD31" s="41"/>
      <c r="AI31" s="25"/>
      <c r="AJ31" s="26" t="s">
        <v>15</v>
      </c>
      <c r="AK31" s="109">
        <v>120</v>
      </c>
      <c r="AL31" s="132"/>
      <c r="AM31" s="130"/>
    </row>
    <row r="32" spans="1:39" s="3" customFormat="1" ht="15.75">
      <c r="A32"/>
      <c r="B32" s="11">
        <v>17</v>
      </c>
      <c r="C32" s="12">
        <v>1</v>
      </c>
      <c r="D32" s="12" t="s">
        <v>11</v>
      </c>
      <c r="E32" s="115">
        <f>E20*1.3</f>
        <v>156</v>
      </c>
      <c r="F32" s="105">
        <f t="shared" si="0"/>
        <v>31.200000000000003</v>
      </c>
      <c r="G32" s="104">
        <f>F32+E32</f>
        <v>187.2</v>
      </c>
      <c r="H32" s="89"/>
      <c r="I32" s="89"/>
      <c r="J32" s="89"/>
      <c r="K32" s="89"/>
      <c r="L32" s="89"/>
      <c r="M32" s="89"/>
      <c r="N32" s="2"/>
      <c r="O32" s="77"/>
      <c r="X32" s="2"/>
      <c r="Y32" s="2"/>
      <c r="Z32" s="2"/>
      <c r="AA32" s="2"/>
      <c r="AB32" s="2"/>
      <c r="AC32" s="2"/>
      <c r="AD32" s="2"/>
      <c r="AI32" s="101">
        <v>99</v>
      </c>
      <c r="AJ32" s="24" t="s">
        <v>27</v>
      </c>
      <c r="AK32" s="112"/>
      <c r="AL32" s="131">
        <f>AK33*20%</f>
        <v>30.24</v>
      </c>
      <c r="AM32" s="129">
        <f>AL32+AK33</f>
        <v>181.44</v>
      </c>
    </row>
    <row r="33" spans="1:39" s="3" customFormat="1" ht="30" customHeight="1" thickBot="1">
      <c r="A33"/>
      <c r="B33" s="11">
        <v>18</v>
      </c>
      <c r="C33" s="12">
        <v>2</v>
      </c>
      <c r="D33" s="12" t="s">
        <v>11</v>
      </c>
      <c r="E33" s="115">
        <f>E21*1.3</f>
        <v>130</v>
      </c>
      <c r="F33" s="105">
        <f t="shared" si="0"/>
        <v>26</v>
      </c>
      <c r="G33" s="104">
        <f>F33+E33</f>
        <v>156</v>
      </c>
      <c r="H33" s="89"/>
      <c r="I33" s="89"/>
      <c r="J33" s="89"/>
      <c r="K33" s="89"/>
      <c r="L33" s="89"/>
      <c r="M33" s="89"/>
      <c r="N33" s="2"/>
      <c r="O33" s="77"/>
      <c r="P33" s="143" t="s">
        <v>45</v>
      </c>
      <c r="Q33" s="144"/>
      <c r="R33" s="144"/>
      <c r="S33" s="144"/>
      <c r="T33" s="144"/>
      <c r="U33" s="144"/>
      <c r="V33" s="144"/>
      <c r="X33" s="133" t="s">
        <v>18</v>
      </c>
      <c r="Y33" s="134"/>
      <c r="Z33" s="134"/>
      <c r="AA33" s="134"/>
      <c r="AB33" s="134"/>
      <c r="AC33" s="134"/>
      <c r="AD33" s="134"/>
      <c r="AI33" s="25"/>
      <c r="AJ33" s="85" t="s">
        <v>31</v>
      </c>
      <c r="AK33" s="109">
        <f>AK21</f>
        <v>151.2</v>
      </c>
      <c r="AL33" s="132"/>
      <c r="AM33" s="130"/>
    </row>
    <row r="34" spans="1:39" s="3" customFormat="1" ht="16.5" customHeight="1" thickBot="1">
      <c r="A34"/>
      <c r="B34" s="11">
        <v>19</v>
      </c>
      <c r="C34" s="12">
        <v>3</v>
      </c>
      <c r="D34" s="12" t="s">
        <v>11</v>
      </c>
      <c r="E34" s="115">
        <f>E22*1.3</f>
        <v>104</v>
      </c>
      <c r="F34" s="105">
        <f t="shared" si="0"/>
        <v>20.8</v>
      </c>
      <c r="G34" s="104">
        <f>F34+E34</f>
        <v>124.8</v>
      </c>
      <c r="H34" s="89"/>
      <c r="I34" s="89"/>
      <c r="J34" s="89"/>
      <c r="K34" s="89"/>
      <c r="L34" s="89"/>
      <c r="M34" s="89"/>
      <c r="N34" s="2"/>
      <c r="O34" s="77"/>
      <c r="P34" s="145"/>
      <c r="Q34" s="145"/>
      <c r="R34" s="145"/>
      <c r="S34" s="145"/>
      <c r="T34" s="145"/>
      <c r="U34" s="145"/>
      <c r="V34" s="145"/>
      <c r="X34" s="135"/>
      <c r="Y34" s="135"/>
      <c r="Z34" s="135"/>
      <c r="AA34" s="135"/>
      <c r="AB34" s="135"/>
      <c r="AC34" s="135"/>
      <c r="AD34" s="135"/>
      <c r="AI34" s="101">
        <v>100</v>
      </c>
      <c r="AJ34" s="24" t="s">
        <v>28</v>
      </c>
      <c r="AK34" s="112"/>
      <c r="AL34" s="131">
        <f>AK35*20%</f>
        <v>25.200000000000003</v>
      </c>
      <c r="AM34" s="129">
        <f>AL34+AK35</f>
        <v>151.2</v>
      </c>
    </row>
    <row r="35" spans="1:39" s="3" customFormat="1" ht="26.25" customHeight="1" thickBot="1">
      <c r="A35"/>
      <c r="B35" s="13">
        <v>20</v>
      </c>
      <c r="C35" s="14">
        <v>4</v>
      </c>
      <c r="D35" s="14" t="s">
        <v>11</v>
      </c>
      <c r="E35" s="116">
        <f>E23*1.3</f>
        <v>72.80000000000001</v>
      </c>
      <c r="F35" s="106">
        <f t="shared" si="0"/>
        <v>14.560000000000002</v>
      </c>
      <c r="G35" s="166">
        <f>F35+E35</f>
        <v>87.36000000000001</v>
      </c>
      <c r="H35" s="89"/>
      <c r="I35" s="89"/>
      <c r="J35" s="89"/>
      <c r="K35" s="89"/>
      <c r="L35" s="89"/>
      <c r="M35" s="89"/>
      <c r="N35" s="2"/>
      <c r="O35" s="77"/>
      <c r="P35" s="42" t="s">
        <v>3</v>
      </c>
      <c r="Q35" s="4" t="s">
        <v>4</v>
      </c>
      <c r="R35" s="139" t="s">
        <v>5</v>
      </c>
      <c r="S35" s="110" t="s">
        <v>6</v>
      </c>
      <c r="T35" s="5" t="s">
        <v>7</v>
      </c>
      <c r="U35" s="110" t="s">
        <v>6</v>
      </c>
      <c r="V35" s="110" t="s">
        <v>6</v>
      </c>
      <c r="X35" s="141" t="s">
        <v>3</v>
      </c>
      <c r="Y35" s="139" t="s">
        <v>4</v>
      </c>
      <c r="Z35" s="139" t="s">
        <v>5</v>
      </c>
      <c r="AA35" s="16" t="s">
        <v>6</v>
      </c>
      <c r="AB35" s="16" t="s">
        <v>6</v>
      </c>
      <c r="AC35" s="5" t="s">
        <v>7</v>
      </c>
      <c r="AD35" s="6" t="s">
        <v>8</v>
      </c>
      <c r="AI35" s="60"/>
      <c r="AJ35" s="85" t="s">
        <v>31</v>
      </c>
      <c r="AK35" s="109">
        <f>AK23</f>
        <v>126</v>
      </c>
      <c r="AL35" s="132"/>
      <c r="AM35" s="130"/>
    </row>
    <row r="36" spans="1:39" s="3" customFormat="1" ht="54" customHeight="1" thickBot="1">
      <c r="A3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77"/>
      <c r="P36" s="46"/>
      <c r="Q36" s="43"/>
      <c r="R36" s="147"/>
      <c r="S36" s="69" t="s">
        <v>52</v>
      </c>
      <c r="T36" s="44" t="s">
        <v>12</v>
      </c>
      <c r="U36" s="48" t="s">
        <v>49</v>
      </c>
      <c r="V36" s="48" t="s">
        <v>51</v>
      </c>
      <c r="X36" s="142"/>
      <c r="Y36" s="140"/>
      <c r="Z36" s="140"/>
      <c r="AA36" s="48" t="s">
        <v>9</v>
      </c>
      <c r="AB36" s="48" t="s">
        <v>9</v>
      </c>
      <c r="AC36" s="44" t="s">
        <v>12</v>
      </c>
      <c r="AD36" s="45" t="s">
        <v>10</v>
      </c>
      <c r="AI36" s="101">
        <v>101</v>
      </c>
      <c r="AJ36" s="24" t="s">
        <v>29</v>
      </c>
      <c r="AK36" s="112"/>
      <c r="AL36" s="131">
        <f>AK37*20%</f>
        <v>20.16</v>
      </c>
      <c r="AM36" s="129">
        <f>AL36+AK37</f>
        <v>120.96</v>
      </c>
    </row>
    <row r="37" spans="1:39" s="3" customFormat="1" ht="27" customHeight="1" thickBot="1">
      <c r="A37"/>
      <c r="B37" s="136" t="s">
        <v>41</v>
      </c>
      <c r="C37" s="137"/>
      <c r="D37" s="137"/>
      <c r="E37" s="137"/>
      <c r="F37" s="137"/>
      <c r="G37" s="137"/>
      <c r="H37" s="86"/>
      <c r="I37" s="133" t="s">
        <v>18</v>
      </c>
      <c r="J37" s="134"/>
      <c r="K37" s="134"/>
      <c r="L37" s="134"/>
      <c r="M37" s="134"/>
      <c r="N37" s="134"/>
      <c r="O37" s="123"/>
      <c r="P37" s="32"/>
      <c r="Q37" s="49"/>
      <c r="R37" s="49"/>
      <c r="S37" s="73" t="s">
        <v>50</v>
      </c>
      <c r="T37" s="49"/>
      <c r="U37" s="49"/>
      <c r="V37" s="50"/>
      <c r="X37" s="32"/>
      <c r="Y37" s="49"/>
      <c r="Z37" s="49"/>
      <c r="AA37" s="49"/>
      <c r="AB37" s="70"/>
      <c r="AC37" s="49"/>
      <c r="AD37" s="50"/>
      <c r="AI37" s="60"/>
      <c r="AJ37" s="85" t="s">
        <v>31</v>
      </c>
      <c r="AK37" s="109">
        <f>AK25</f>
        <v>100.8</v>
      </c>
      <c r="AL37" s="132"/>
      <c r="AM37" s="130"/>
    </row>
    <row r="38" spans="1:39" s="3" customFormat="1" ht="17.25" customHeight="1" thickBot="1">
      <c r="A38"/>
      <c r="B38" s="138"/>
      <c r="C38" s="138"/>
      <c r="D38" s="138"/>
      <c r="E38" s="138"/>
      <c r="F38" s="138"/>
      <c r="G38" s="138"/>
      <c r="H38" s="90"/>
      <c r="I38" s="135"/>
      <c r="J38" s="135"/>
      <c r="K38" s="135"/>
      <c r="L38" s="135"/>
      <c r="M38" s="135"/>
      <c r="N38" s="135"/>
      <c r="O38" s="123"/>
      <c r="P38" s="51"/>
      <c r="Q38" s="52"/>
      <c r="R38" s="52"/>
      <c r="S38" s="76"/>
      <c r="T38" s="53"/>
      <c r="U38" s="53"/>
      <c r="V38" s="54"/>
      <c r="X38" s="51"/>
      <c r="Y38" s="52"/>
      <c r="Z38" s="52"/>
      <c r="AA38" s="76" t="s">
        <v>36</v>
      </c>
      <c r="AB38" s="75" t="s">
        <v>39</v>
      </c>
      <c r="AC38" s="53"/>
      <c r="AD38" s="54"/>
      <c r="AI38" s="101">
        <v>102</v>
      </c>
      <c r="AJ38" s="24" t="s">
        <v>30</v>
      </c>
      <c r="AK38" s="112"/>
      <c r="AL38" s="131">
        <f>AK39*20%</f>
        <v>14.12</v>
      </c>
      <c r="AM38" s="129">
        <f>AL38+AK39</f>
        <v>84.72</v>
      </c>
    </row>
    <row r="39" spans="1:39" s="3" customFormat="1" ht="25.5" customHeight="1" thickBot="1">
      <c r="A39"/>
      <c r="B39" s="141" t="s">
        <v>3</v>
      </c>
      <c r="C39" s="146" t="s">
        <v>4</v>
      </c>
      <c r="D39" s="139" t="s">
        <v>5</v>
      </c>
      <c r="E39" s="5" t="s">
        <v>6</v>
      </c>
      <c r="F39" s="5" t="s">
        <v>7</v>
      </c>
      <c r="G39" s="110" t="s">
        <v>6</v>
      </c>
      <c r="H39" s="88"/>
      <c r="I39" s="141" t="s">
        <v>3</v>
      </c>
      <c r="J39" s="139" t="s">
        <v>4</v>
      </c>
      <c r="K39" s="139" t="s">
        <v>5</v>
      </c>
      <c r="L39" s="110" t="s">
        <v>6</v>
      </c>
      <c r="M39" s="110" t="s">
        <v>7</v>
      </c>
      <c r="N39" s="110" t="s">
        <v>6</v>
      </c>
      <c r="O39" s="124"/>
      <c r="P39" s="11">
        <v>77</v>
      </c>
      <c r="Q39" s="12">
        <v>1</v>
      </c>
      <c r="R39" s="12" t="s">
        <v>32</v>
      </c>
      <c r="S39" s="108">
        <f>S43*1.1</f>
        <v>151.8</v>
      </c>
      <c r="T39" s="105">
        <f>S39*20%</f>
        <v>30.360000000000003</v>
      </c>
      <c r="U39" s="111" t="e">
        <f>#REF!*1.2</f>
        <v>#REF!</v>
      </c>
      <c r="V39" s="107">
        <f>T39+S39</f>
        <v>182.16000000000003</v>
      </c>
      <c r="X39" s="11">
        <v>53</v>
      </c>
      <c r="Y39" s="12">
        <v>1</v>
      </c>
      <c r="Z39" s="12" t="s">
        <v>32</v>
      </c>
      <c r="AA39" s="10">
        <v>1603150</v>
      </c>
      <c r="AB39" s="10">
        <f>AB44*1.1</f>
        <v>1603250.0000000002</v>
      </c>
      <c r="AC39" s="10">
        <f>AB39*20%</f>
        <v>320650.00000000006</v>
      </c>
      <c r="AD39" s="55">
        <f>AC39+AB39</f>
        <v>1923900.0000000002</v>
      </c>
      <c r="AI39" s="60"/>
      <c r="AJ39" s="87" t="s">
        <v>31</v>
      </c>
      <c r="AK39" s="109">
        <f>AK27</f>
        <v>70.6</v>
      </c>
      <c r="AL39" s="167"/>
      <c r="AM39" s="168"/>
    </row>
    <row r="40" spans="1:30" s="3" customFormat="1" ht="14.25">
      <c r="A40"/>
      <c r="B40" s="148"/>
      <c r="C40" s="147"/>
      <c r="D40" s="140"/>
      <c r="E40" s="47" t="s">
        <v>9</v>
      </c>
      <c r="F40" s="44" t="s">
        <v>13</v>
      </c>
      <c r="G40" s="48" t="s">
        <v>51</v>
      </c>
      <c r="H40" s="88"/>
      <c r="I40" s="142"/>
      <c r="J40" s="140"/>
      <c r="K40" s="140"/>
      <c r="L40" s="48" t="s">
        <v>52</v>
      </c>
      <c r="M40" s="44" t="s">
        <v>12</v>
      </c>
      <c r="N40" s="48" t="s">
        <v>51</v>
      </c>
      <c r="O40" s="127"/>
      <c r="P40" s="11">
        <v>78</v>
      </c>
      <c r="Q40" s="12">
        <v>2</v>
      </c>
      <c r="R40" s="12" t="s">
        <v>32</v>
      </c>
      <c r="S40" s="108">
        <f>S44*1.1</f>
        <v>126.50000000000001</v>
      </c>
      <c r="T40" s="105">
        <f aca="true" t="shared" si="4" ref="T40:T53">S40*20%</f>
        <v>25.300000000000004</v>
      </c>
      <c r="U40" s="111" t="e">
        <f>#REF!*1.2</f>
        <v>#REF!</v>
      </c>
      <c r="V40" s="107">
        <f>T40+S40</f>
        <v>151.8</v>
      </c>
      <c r="X40" s="11">
        <v>54</v>
      </c>
      <c r="Y40" s="12">
        <v>2</v>
      </c>
      <c r="Z40" s="12" t="s">
        <v>32</v>
      </c>
      <c r="AA40" s="10">
        <v>1335950</v>
      </c>
      <c r="AB40" s="10">
        <f>AB45*1.1+50</f>
        <v>1336000</v>
      </c>
      <c r="AC40" s="10">
        <f>AB40*20%</f>
        <v>267200</v>
      </c>
      <c r="AD40" s="55">
        <f>AC40+AB40</f>
        <v>1603200</v>
      </c>
    </row>
    <row r="41" spans="1:38" s="3" customFormat="1" ht="14.25" customHeight="1">
      <c r="A41"/>
      <c r="B41" s="32"/>
      <c r="C41" s="49"/>
      <c r="D41" s="49"/>
      <c r="E41" s="91"/>
      <c r="F41" s="49"/>
      <c r="G41" s="50"/>
      <c r="H41" s="49"/>
      <c r="I41" s="32"/>
      <c r="J41" s="49"/>
      <c r="K41" s="49"/>
      <c r="L41" s="70"/>
      <c r="M41" s="49"/>
      <c r="N41" s="50"/>
      <c r="O41" s="49"/>
      <c r="P41" s="11">
        <v>79</v>
      </c>
      <c r="Q41" s="12">
        <v>3</v>
      </c>
      <c r="R41" s="12" t="s">
        <v>32</v>
      </c>
      <c r="S41" s="108">
        <f>S45*1.1</f>
        <v>101.2</v>
      </c>
      <c r="T41" s="105">
        <f t="shared" si="4"/>
        <v>20.240000000000002</v>
      </c>
      <c r="U41" s="111" t="e">
        <f>#REF!*1.2</f>
        <v>#REF!</v>
      </c>
      <c r="V41" s="107">
        <f>T41+S41</f>
        <v>121.44</v>
      </c>
      <c r="X41" s="11">
        <v>55</v>
      </c>
      <c r="Y41" s="12">
        <v>3</v>
      </c>
      <c r="Z41" s="12" t="s">
        <v>32</v>
      </c>
      <c r="AA41" s="10">
        <v>1068750</v>
      </c>
      <c r="AB41" s="10">
        <f>AB46*1.1-200</f>
        <v>1069000</v>
      </c>
      <c r="AC41" s="10">
        <f>AB41*20%</f>
        <v>213800</v>
      </c>
      <c r="AD41" s="55">
        <f>AC41+AB41</f>
        <v>1282800</v>
      </c>
      <c r="AI41" s="2"/>
      <c r="AJ41" s="2"/>
      <c r="AK41" s="2"/>
      <c r="AL41" s="2"/>
    </row>
    <row r="42" spans="1:38" s="3" customFormat="1" ht="21" customHeight="1">
      <c r="A42"/>
      <c r="B42" s="51"/>
      <c r="C42" s="52"/>
      <c r="D42" s="52"/>
      <c r="E42" s="75" t="s">
        <v>50</v>
      </c>
      <c r="F42" s="53"/>
      <c r="G42" s="54"/>
      <c r="H42" s="53"/>
      <c r="I42" s="51"/>
      <c r="J42" s="52"/>
      <c r="K42" s="52"/>
      <c r="L42" s="75" t="s">
        <v>50</v>
      </c>
      <c r="M42" s="53"/>
      <c r="N42" s="54"/>
      <c r="O42" s="53"/>
      <c r="P42" s="35"/>
      <c r="Q42" s="36"/>
      <c r="R42" s="36"/>
      <c r="S42" s="108"/>
      <c r="T42" s="105"/>
      <c r="U42" s="111"/>
      <c r="V42" s="107"/>
      <c r="X42" s="11"/>
      <c r="Y42" s="12"/>
      <c r="Z42" s="12"/>
      <c r="AA42" s="15"/>
      <c r="AB42" s="15"/>
      <c r="AC42" s="10"/>
      <c r="AD42" s="55"/>
      <c r="AI42" s="2"/>
      <c r="AJ42" s="2"/>
      <c r="AK42" s="2"/>
      <c r="AL42" s="2"/>
    </row>
    <row r="43" spans="1:38" s="3" customFormat="1" ht="14.25">
      <c r="A43"/>
      <c r="B43" s="11">
        <v>21</v>
      </c>
      <c r="C43" s="12">
        <v>0</v>
      </c>
      <c r="D43" s="12" t="s">
        <v>32</v>
      </c>
      <c r="E43" s="103">
        <f>E49*1.1+0.04</f>
        <v>216.3</v>
      </c>
      <c r="F43" s="105">
        <f>E43*20%</f>
        <v>43.260000000000005</v>
      </c>
      <c r="G43" s="104">
        <f aca="true" t="shared" si="5" ref="G43:G65">F43+E43</f>
        <v>259.56</v>
      </c>
      <c r="H43" s="89"/>
      <c r="I43" s="11">
        <v>53</v>
      </c>
      <c r="J43" s="12">
        <v>1</v>
      </c>
      <c r="K43" s="12" t="s">
        <v>32</v>
      </c>
      <c r="L43" s="105">
        <f>L48*1.1-0.04</f>
        <v>207.20000000000002</v>
      </c>
      <c r="M43" s="105">
        <f>L43*20%</f>
        <v>41.440000000000005</v>
      </c>
      <c r="N43" s="107">
        <f>M43+L43</f>
        <v>248.64000000000001</v>
      </c>
      <c r="O43" s="125"/>
      <c r="P43" s="11">
        <v>80</v>
      </c>
      <c r="Q43" s="12">
        <v>1</v>
      </c>
      <c r="R43" s="12" t="s">
        <v>33</v>
      </c>
      <c r="S43" s="108">
        <f>S44*1.2</f>
        <v>138</v>
      </c>
      <c r="T43" s="105">
        <f t="shared" si="4"/>
        <v>27.6</v>
      </c>
      <c r="U43" s="111" t="e">
        <f>#REF!*1.2</f>
        <v>#REF!</v>
      </c>
      <c r="V43" s="107">
        <f>T43+S43</f>
        <v>165.6</v>
      </c>
      <c r="X43" s="35"/>
      <c r="Y43" s="36"/>
      <c r="Z43" s="36"/>
      <c r="AA43" s="15"/>
      <c r="AB43" s="15"/>
      <c r="AC43" s="10"/>
      <c r="AD43" s="55"/>
      <c r="AI43" s="2"/>
      <c r="AJ43" s="2"/>
      <c r="AK43" s="2"/>
      <c r="AL43" s="2"/>
    </row>
    <row r="44" spans="1:38" s="3" customFormat="1" ht="14.25">
      <c r="A44"/>
      <c r="B44" s="11">
        <v>22</v>
      </c>
      <c r="C44" s="12">
        <v>1</v>
      </c>
      <c r="D44" s="12" t="s">
        <v>32</v>
      </c>
      <c r="E44" s="117">
        <f>E50*1.1-0.02</f>
        <v>166.29999999999998</v>
      </c>
      <c r="F44" s="105">
        <f aca="true" t="shared" si="6" ref="F44:F65">E44*20%</f>
        <v>33.26</v>
      </c>
      <c r="G44" s="104">
        <f t="shared" si="5"/>
        <v>199.55999999999997</v>
      </c>
      <c r="H44" s="89"/>
      <c r="I44" s="11">
        <v>54</v>
      </c>
      <c r="J44" s="12">
        <v>2</v>
      </c>
      <c r="K44" s="12" t="s">
        <v>32</v>
      </c>
      <c r="L44" s="105">
        <f>L49*1.1</f>
        <v>172.70000000000002</v>
      </c>
      <c r="M44" s="105">
        <f>L44*20%</f>
        <v>34.540000000000006</v>
      </c>
      <c r="N44" s="107">
        <f>M44+L44</f>
        <v>207.24</v>
      </c>
      <c r="O44" s="125"/>
      <c r="P44" s="11">
        <v>81</v>
      </c>
      <c r="Q44" s="12">
        <v>2</v>
      </c>
      <c r="R44" s="12" t="s">
        <v>33</v>
      </c>
      <c r="S44" s="108">
        <v>115</v>
      </c>
      <c r="T44" s="105">
        <f t="shared" si="4"/>
        <v>23</v>
      </c>
      <c r="U44" s="111" t="e">
        <f>#REF!*1.2</f>
        <v>#REF!</v>
      </c>
      <c r="V44" s="107">
        <f aca="true" t="shared" si="7" ref="V44:V53">T44+S44</f>
        <v>138</v>
      </c>
      <c r="X44" s="11">
        <v>56</v>
      </c>
      <c r="Y44" s="12">
        <v>1</v>
      </c>
      <c r="Z44" s="12" t="s">
        <v>33</v>
      </c>
      <c r="AA44" s="10">
        <v>1457400</v>
      </c>
      <c r="AB44" s="10">
        <f>AB45*1.2+100</f>
        <v>1457500</v>
      </c>
      <c r="AC44" s="10">
        <f>AB44*20%</f>
        <v>291500</v>
      </c>
      <c r="AD44" s="55">
        <f>AC44+AB44</f>
        <v>1749000</v>
      </c>
      <c r="AI44" s="2"/>
      <c r="AJ44" s="2"/>
      <c r="AK44" s="2"/>
      <c r="AL44" s="2"/>
    </row>
    <row r="45" spans="1:39" s="3" customFormat="1" ht="14.25">
      <c r="A45"/>
      <c r="B45" s="11">
        <v>23</v>
      </c>
      <c r="C45" s="12">
        <v>2</v>
      </c>
      <c r="D45" s="12" t="s">
        <v>32</v>
      </c>
      <c r="E45" s="105">
        <f>E51*1.1</f>
        <v>138.60000000000002</v>
      </c>
      <c r="F45" s="105">
        <f t="shared" si="6"/>
        <v>27.720000000000006</v>
      </c>
      <c r="G45" s="104">
        <f t="shared" si="5"/>
        <v>166.32000000000002</v>
      </c>
      <c r="H45" s="89"/>
      <c r="I45" s="11">
        <v>55</v>
      </c>
      <c r="J45" s="12">
        <v>3</v>
      </c>
      <c r="K45" s="12" t="s">
        <v>32</v>
      </c>
      <c r="L45" s="105">
        <f>L50*1.1+0.04</f>
        <v>138.20000000000002</v>
      </c>
      <c r="M45" s="105">
        <f>L45*20%</f>
        <v>27.640000000000004</v>
      </c>
      <c r="N45" s="107">
        <f>M45+L45</f>
        <v>165.84000000000003</v>
      </c>
      <c r="O45" s="125"/>
      <c r="P45" s="11">
        <v>82</v>
      </c>
      <c r="Q45" s="12">
        <v>3</v>
      </c>
      <c r="R45" s="12" t="s">
        <v>33</v>
      </c>
      <c r="S45" s="108">
        <f>S44*0.8</f>
        <v>92</v>
      </c>
      <c r="T45" s="105">
        <f t="shared" si="4"/>
        <v>18.400000000000002</v>
      </c>
      <c r="U45" s="111" t="e">
        <f>#REF!*1.2</f>
        <v>#REF!</v>
      </c>
      <c r="V45" s="107">
        <f t="shared" si="7"/>
        <v>110.4</v>
      </c>
      <c r="X45" s="11">
        <v>57</v>
      </c>
      <c r="Y45" s="12">
        <v>2</v>
      </c>
      <c r="Z45" s="12" t="s">
        <v>33</v>
      </c>
      <c r="AA45" s="15">
        <v>1214500</v>
      </c>
      <c r="AB45" s="15">
        <v>1214500</v>
      </c>
      <c r="AC45" s="10">
        <f>AB45*20%</f>
        <v>242900</v>
      </c>
      <c r="AD45" s="55">
        <f>AC45+AB45</f>
        <v>1457400</v>
      </c>
      <c r="AI45" s="2"/>
      <c r="AJ45" s="2"/>
      <c r="AK45" s="2"/>
      <c r="AL45" s="2"/>
      <c r="AM45" s="2"/>
    </row>
    <row r="46" spans="1:39" s="3" customFormat="1" ht="14.25">
      <c r="A46"/>
      <c r="B46" s="11">
        <v>24</v>
      </c>
      <c r="C46" s="12">
        <v>3</v>
      </c>
      <c r="D46" s="12" t="s">
        <v>32</v>
      </c>
      <c r="E46" s="105">
        <f>E52*1.1+0.02</f>
        <v>110.90000000000002</v>
      </c>
      <c r="F46" s="105">
        <f t="shared" si="6"/>
        <v>22.180000000000007</v>
      </c>
      <c r="G46" s="104">
        <f t="shared" si="5"/>
        <v>133.08000000000004</v>
      </c>
      <c r="H46" s="89"/>
      <c r="I46" s="11"/>
      <c r="J46" s="12"/>
      <c r="K46" s="12"/>
      <c r="L46" s="105"/>
      <c r="M46" s="105"/>
      <c r="N46" s="107"/>
      <c r="O46" s="125"/>
      <c r="P46" s="35"/>
      <c r="Q46" s="36"/>
      <c r="R46" s="36"/>
      <c r="S46" s="108"/>
      <c r="T46" s="105"/>
      <c r="U46" s="111"/>
      <c r="V46" s="107"/>
      <c r="X46" s="11">
        <v>58</v>
      </c>
      <c r="Y46" s="12">
        <v>3</v>
      </c>
      <c r="Z46" s="12" t="s">
        <v>33</v>
      </c>
      <c r="AA46" s="10">
        <v>971600</v>
      </c>
      <c r="AB46" s="10">
        <f>AB45*0.8+400</f>
        <v>972000</v>
      </c>
      <c r="AC46" s="10">
        <f>AB46*20%</f>
        <v>194400</v>
      </c>
      <c r="AD46" s="55">
        <f>AC46+AB46</f>
        <v>1166400</v>
      </c>
      <c r="AI46" s="2"/>
      <c r="AJ46" s="2"/>
      <c r="AK46" s="2"/>
      <c r="AL46" s="2"/>
      <c r="AM46" s="2"/>
    </row>
    <row r="47" spans="1:39" s="3" customFormat="1" ht="14.25">
      <c r="A47"/>
      <c r="B47" s="11">
        <v>25</v>
      </c>
      <c r="C47" s="12">
        <v>4</v>
      </c>
      <c r="D47" s="12" t="s">
        <v>32</v>
      </c>
      <c r="E47" s="105">
        <f>E53*1.1+0.04</f>
        <v>77.70000000000002</v>
      </c>
      <c r="F47" s="105">
        <f t="shared" si="6"/>
        <v>15.540000000000004</v>
      </c>
      <c r="G47" s="104">
        <f t="shared" si="5"/>
        <v>93.24000000000002</v>
      </c>
      <c r="H47" s="89"/>
      <c r="I47" s="35"/>
      <c r="J47" s="36"/>
      <c r="K47" s="36"/>
      <c r="L47" s="105"/>
      <c r="M47" s="105"/>
      <c r="N47" s="107"/>
      <c r="O47" s="125"/>
      <c r="P47" s="11">
        <v>83</v>
      </c>
      <c r="Q47" s="12">
        <v>1</v>
      </c>
      <c r="R47" s="12" t="s">
        <v>34</v>
      </c>
      <c r="S47" s="108">
        <f>S43*1.2</f>
        <v>165.6</v>
      </c>
      <c r="T47" s="105">
        <f t="shared" si="4"/>
        <v>33.12</v>
      </c>
      <c r="U47" s="111" t="e">
        <f>#REF!*1.2</f>
        <v>#REF!</v>
      </c>
      <c r="V47" s="107">
        <f t="shared" si="7"/>
        <v>198.72</v>
      </c>
      <c r="X47" s="11"/>
      <c r="Y47" s="12"/>
      <c r="Z47" s="12"/>
      <c r="AA47" s="15"/>
      <c r="AB47" s="15"/>
      <c r="AC47" s="10"/>
      <c r="AD47" s="55"/>
      <c r="AI47" s="2"/>
      <c r="AJ47" s="2"/>
      <c r="AK47" s="2"/>
      <c r="AL47" s="2"/>
      <c r="AM47" s="2"/>
    </row>
    <row r="48" spans="1:39" s="3" customFormat="1" ht="14.25">
      <c r="A48"/>
      <c r="B48" s="35"/>
      <c r="C48" s="36"/>
      <c r="D48" s="36"/>
      <c r="E48" s="103"/>
      <c r="F48" s="105"/>
      <c r="G48" s="104"/>
      <c r="H48" s="89"/>
      <c r="I48" s="11">
        <v>56</v>
      </c>
      <c r="J48" s="12">
        <v>1</v>
      </c>
      <c r="K48" s="12" t="s">
        <v>33</v>
      </c>
      <c r="L48" s="105">
        <f>L49*1.2</f>
        <v>188.4</v>
      </c>
      <c r="M48" s="105">
        <f>L48*20%</f>
        <v>37.68</v>
      </c>
      <c r="N48" s="107">
        <f>M48+L48</f>
        <v>226.08</v>
      </c>
      <c r="O48" s="125"/>
      <c r="P48" s="11">
        <v>84</v>
      </c>
      <c r="Q48" s="12">
        <v>2</v>
      </c>
      <c r="R48" s="12" t="s">
        <v>34</v>
      </c>
      <c r="S48" s="108">
        <f>S44*1.2</f>
        <v>138</v>
      </c>
      <c r="T48" s="105">
        <f t="shared" si="4"/>
        <v>27.6</v>
      </c>
      <c r="U48" s="111" t="e">
        <f>#REF!*1.2</f>
        <v>#REF!</v>
      </c>
      <c r="V48" s="107">
        <f t="shared" si="7"/>
        <v>165.6</v>
      </c>
      <c r="X48" s="35"/>
      <c r="Y48" s="36"/>
      <c r="Z48" s="36"/>
      <c r="AA48" s="15"/>
      <c r="AB48" s="15"/>
      <c r="AC48" s="10"/>
      <c r="AD48" s="55"/>
      <c r="AI48" s="2"/>
      <c r="AJ48" s="2"/>
      <c r="AK48" s="2"/>
      <c r="AL48" s="2"/>
      <c r="AM48" s="2"/>
    </row>
    <row r="49" spans="1:39" s="3" customFormat="1" ht="14.25">
      <c r="A49"/>
      <c r="B49" s="11">
        <v>26</v>
      </c>
      <c r="C49" s="12">
        <v>0</v>
      </c>
      <c r="D49" s="12" t="s">
        <v>33</v>
      </c>
      <c r="E49" s="105">
        <f>E51*1.56+0.04</f>
        <v>196.6</v>
      </c>
      <c r="F49" s="105">
        <f t="shared" si="6"/>
        <v>39.32</v>
      </c>
      <c r="G49" s="104">
        <f t="shared" si="5"/>
        <v>235.92</v>
      </c>
      <c r="H49" s="89"/>
      <c r="I49" s="11">
        <v>57</v>
      </c>
      <c r="J49" s="12">
        <v>2</v>
      </c>
      <c r="K49" s="12" t="s">
        <v>33</v>
      </c>
      <c r="L49" s="105">
        <v>157</v>
      </c>
      <c r="M49" s="105">
        <f>L49*20%</f>
        <v>31.400000000000002</v>
      </c>
      <c r="N49" s="107">
        <f>M49+L49</f>
        <v>188.4</v>
      </c>
      <c r="O49" s="125"/>
      <c r="P49" s="11">
        <v>85</v>
      </c>
      <c r="Q49" s="12">
        <v>3</v>
      </c>
      <c r="R49" s="12" t="s">
        <v>34</v>
      </c>
      <c r="S49" s="108">
        <f>S45*1.2</f>
        <v>110.39999999999999</v>
      </c>
      <c r="T49" s="105">
        <f t="shared" si="4"/>
        <v>22.08</v>
      </c>
      <c r="U49" s="111" t="e">
        <f>#REF!*1.2</f>
        <v>#REF!</v>
      </c>
      <c r="V49" s="107">
        <f t="shared" si="7"/>
        <v>132.48</v>
      </c>
      <c r="X49" s="11">
        <v>59</v>
      </c>
      <c r="Y49" s="12">
        <v>1</v>
      </c>
      <c r="Z49" s="12" t="s">
        <v>34</v>
      </c>
      <c r="AA49" s="10">
        <v>1748900</v>
      </c>
      <c r="AB49" s="10">
        <f>AB44*1.2</f>
        <v>1749000</v>
      </c>
      <c r="AC49" s="10">
        <f>AB49*20%</f>
        <v>349800</v>
      </c>
      <c r="AD49" s="55">
        <f>AC49+AB49</f>
        <v>2098800</v>
      </c>
      <c r="AI49" s="2"/>
      <c r="AJ49" s="2"/>
      <c r="AK49" s="2"/>
      <c r="AL49" s="2"/>
      <c r="AM49" s="2"/>
    </row>
    <row r="50" spans="1:39" s="3" customFormat="1" ht="14.25">
      <c r="A50"/>
      <c r="B50" s="11">
        <v>27</v>
      </c>
      <c r="C50" s="12">
        <v>1</v>
      </c>
      <c r="D50" s="12" t="s">
        <v>33</v>
      </c>
      <c r="E50" s="105">
        <f>E51*1.2</f>
        <v>151.2</v>
      </c>
      <c r="F50" s="105">
        <f t="shared" si="6"/>
        <v>30.24</v>
      </c>
      <c r="G50" s="104">
        <f t="shared" si="5"/>
        <v>181.44</v>
      </c>
      <c r="H50" s="89"/>
      <c r="I50" s="11">
        <v>58</v>
      </c>
      <c r="J50" s="12">
        <v>3</v>
      </c>
      <c r="K50" s="12" t="s">
        <v>33</v>
      </c>
      <c r="L50" s="105">
        <f>L49*0.8</f>
        <v>125.60000000000001</v>
      </c>
      <c r="M50" s="105">
        <f>L50*20%</f>
        <v>25.120000000000005</v>
      </c>
      <c r="N50" s="107">
        <f>M50+L50</f>
        <v>150.72000000000003</v>
      </c>
      <c r="O50" s="125"/>
      <c r="P50" s="37"/>
      <c r="Q50" s="1"/>
      <c r="R50" s="1"/>
      <c r="S50" s="108"/>
      <c r="T50" s="105"/>
      <c r="U50" s="111"/>
      <c r="V50" s="107"/>
      <c r="X50" s="11">
        <v>60</v>
      </c>
      <c r="Y50" s="12">
        <v>2</v>
      </c>
      <c r="Z50" s="12" t="s">
        <v>34</v>
      </c>
      <c r="AA50" s="10">
        <v>1457400</v>
      </c>
      <c r="AB50" s="10">
        <f>AB45*1.2+100</f>
        <v>1457500</v>
      </c>
      <c r="AC50" s="10">
        <f>AB50*20%</f>
        <v>291500</v>
      </c>
      <c r="AD50" s="55">
        <f>AC50+AB50</f>
        <v>1749000</v>
      </c>
      <c r="AI50" s="2"/>
      <c r="AJ50" s="2"/>
      <c r="AK50" s="2"/>
      <c r="AL50" s="2"/>
      <c r="AM50" s="2"/>
    </row>
    <row r="51" spans="1:59" ht="15.75">
      <c r="A51"/>
      <c r="B51" s="11">
        <v>28</v>
      </c>
      <c r="C51" s="12">
        <v>2</v>
      </c>
      <c r="D51" s="12" t="s">
        <v>33</v>
      </c>
      <c r="E51" s="103">
        <v>126</v>
      </c>
      <c r="F51" s="105">
        <f t="shared" si="6"/>
        <v>25.200000000000003</v>
      </c>
      <c r="G51" s="104">
        <f t="shared" si="5"/>
        <v>151.2</v>
      </c>
      <c r="H51" s="89"/>
      <c r="I51" s="11"/>
      <c r="J51" s="12"/>
      <c r="K51" s="12"/>
      <c r="L51" s="105"/>
      <c r="M51" s="105"/>
      <c r="N51" s="107"/>
      <c r="O51" s="125"/>
      <c r="P51" s="11">
        <v>86</v>
      </c>
      <c r="Q51" s="12">
        <v>1</v>
      </c>
      <c r="R51" s="12" t="s">
        <v>11</v>
      </c>
      <c r="S51" s="119">
        <f>S43*1.3</f>
        <v>179.4</v>
      </c>
      <c r="T51" s="105">
        <f t="shared" si="4"/>
        <v>35.88</v>
      </c>
      <c r="U51" s="111" t="e">
        <f>#REF!*1.2</f>
        <v>#REF!</v>
      </c>
      <c r="V51" s="107">
        <f t="shared" si="7"/>
        <v>215.28</v>
      </c>
      <c r="X51" s="11">
        <v>61</v>
      </c>
      <c r="Y51" s="12">
        <v>3</v>
      </c>
      <c r="Z51" s="12" t="s">
        <v>34</v>
      </c>
      <c r="AA51" s="10">
        <v>1165900</v>
      </c>
      <c r="AB51" s="10">
        <f>AB46*1.2+100</f>
        <v>1166500</v>
      </c>
      <c r="AC51" s="10">
        <f>AB51*20%</f>
        <v>233300</v>
      </c>
      <c r="AD51" s="55">
        <f>AC51+AB51</f>
        <v>1399800</v>
      </c>
      <c r="AM51" s="64"/>
      <c r="AN51" s="18"/>
      <c r="AV51" s="18"/>
      <c r="BD51" s="18"/>
      <c r="BG51" s="28" t="s">
        <v>1</v>
      </c>
    </row>
    <row r="52" spans="1:30" ht="14.25">
      <c r="A52"/>
      <c r="B52" s="11">
        <v>29</v>
      </c>
      <c r="C52" s="12">
        <v>3</v>
      </c>
      <c r="D52" s="12" t="s">
        <v>33</v>
      </c>
      <c r="E52" s="105">
        <f>E51*0.8</f>
        <v>100.80000000000001</v>
      </c>
      <c r="F52" s="105">
        <f t="shared" si="6"/>
        <v>20.160000000000004</v>
      </c>
      <c r="G52" s="104">
        <f t="shared" si="5"/>
        <v>120.96000000000001</v>
      </c>
      <c r="H52" s="89"/>
      <c r="I52" s="35"/>
      <c r="J52" s="36"/>
      <c r="K52" s="36"/>
      <c r="L52" s="105"/>
      <c r="M52" s="105"/>
      <c r="N52" s="107"/>
      <c r="O52" s="125"/>
      <c r="P52" s="11">
        <v>87</v>
      </c>
      <c r="Q52" s="12">
        <v>2</v>
      </c>
      <c r="R52" s="12" t="s">
        <v>11</v>
      </c>
      <c r="S52" s="119">
        <f>S44*1.3</f>
        <v>149.5</v>
      </c>
      <c r="T52" s="105">
        <f t="shared" si="4"/>
        <v>29.900000000000002</v>
      </c>
      <c r="U52" s="111" t="e">
        <f>#REF!*1.2</f>
        <v>#REF!</v>
      </c>
      <c r="V52" s="107">
        <f t="shared" si="7"/>
        <v>179.4</v>
      </c>
      <c r="X52" s="11"/>
      <c r="Y52" s="12"/>
      <c r="Z52" s="12"/>
      <c r="AA52" s="15"/>
      <c r="AB52" s="15"/>
      <c r="AC52" s="10"/>
      <c r="AD52" s="55"/>
    </row>
    <row r="53" spans="1:30" ht="14.25">
      <c r="A53"/>
      <c r="B53" s="11">
        <v>30</v>
      </c>
      <c r="C53" s="12">
        <v>4</v>
      </c>
      <c r="D53" s="12" t="s">
        <v>33</v>
      </c>
      <c r="E53" s="105">
        <f>E51*0.56+0.04</f>
        <v>70.60000000000001</v>
      </c>
      <c r="F53" s="105">
        <f t="shared" si="6"/>
        <v>14.120000000000003</v>
      </c>
      <c r="G53" s="104">
        <f t="shared" si="5"/>
        <v>84.72000000000001</v>
      </c>
      <c r="H53" s="89"/>
      <c r="I53" s="11">
        <v>59</v>
      </c>
      <c r="J53" s="12">
        <v>1</v>
      </c>
      <c r="K53" s="12" t="s">
        <v>34</v>
      </c>
      <c r="L53" s="105">
        <f>L48*1.2+0.02</f>
        <v>226.10000000000002</v>
      </c>
      <c r="M53" s="105">
        <f>L53*20%</f>
        <v>45.220000000000006</v>
      </c>
      <c r="N53" s="107">
        <f>M53+L53</f>
        <v>271.32000000000005</v>
      </c>
      <c r="O53" s="125"/>
      <c r="P53" s="11">
        <v>88</v>
      </c>
      <c r="Q53" s="12">
        <v>3</v>
      </c>
      <c r="R53" s="12" t="s">
        <v>11</v>
      </c>
      <c r="S53" s="119">
        <f>S45*1.3</f>
        <v>119.60000000000001</v>
      </c>
      <c r="T53" s="105">
        <f t="shared" si="4"/>
        <v>23.92</v>
      </c>
      <c r="U53" s="111" t="e">
        <f>#REF!*1.2</f>
        <v>#REF!</v>
      </c>
      <c r="V53" s="107">
        <f t="shared" si="7"/>
        <v>143.52</v>
      </c>
      <c r="X53" s="37"/>
      <c r="Y53" s="1"/>
      <c r="Z53" s="1"/>
      <c r="AA53" s="15"/>
      <c r="AB53" s="15"/>
      <c r="AC53" s="10"/>
      <c r="AD53" s="55"/>
    </row>
    <row r="54" spans="1:30" ht="14.25">
      <c r="A54"/>
      <c r="B54" s="35"/>
      <c r="C54" s="36"/>
      <c r="D54" s="36"/>
      <c r="E54" s="103"/>
      <c r="F54" s="105"/>
      <c r="G54" s="104"/>
      <c r="H54" s="89"/>
      <c r="I54" s="11">
        <v>60</v>
      </c>
      <c r="J54" s="12">
        <v>2</v>
      </c>
      <c r="K54" s="12" t="s">
        <v>34</v>
      </c>
      <c r="L54" s="105">
        <f>L49*1.2</f>
        <v>188.4</v>
      </c>
      <c r="M54" s="105">
        <f>L54*20%</f>
        <v>37.68</v>
      </c>
      <c r="N54" s="107">
        <f>M54+L54</f>
        <v>226.08</v>
      </c>
      <c r="O54" s="125"/>
      <c r="X54" s="11">
        <v>62</v>
      </c>
      <c r="Y54" s="12">
        <v>1</v>
      </c>
      <c r="Z54" s="12" t="s">
        <v>11</v>
      </c>
      <c r="AA54" s="38">
        <v>1894600</v>
      </c>
      <c r="AB54" s="38">
        <f>AB44*1.3+250</f>
        <v>1895000</v>
      </c>
      <c r="AC54" s="10">
        <f>AB54*20%</f>
        <v>379000</v>
      </c>
      <c r="AD54" s="55">
        <f>AC54+AB54</f>
        <v>2274000</v>
      </c>
    </row>
    <row r="55" spans="1:36" ht="15.75">
      <c r="A55"/>
      <c r="B55" s="11">
        <v>31</v>
      </c>
      <c r="C55" s="12">
        <v>0</v>
      </c>
      <c r="D55" s="12" t="s">
        <v>34</v>
      </c>
      <c r="E55" s="105">
        <f>E49*1.2-0.02</f>
        <v>235.89999999999998</v>
      </c>
      <c r="F55" s="105">
        <f t="shared" si="6"/>
        <v>47.18</v>
      </c>
      <c r="G55" s="104">
        <f t="shared" si="5"/>
        <v>283.08</v>
      </c>
      <c r="H55" s="89"/>
      <c r="I55" s="11">
        <v>61</v>
      </c>
      <c r="J55" s="12">
        <v>3</v>
      </c>
      <c r="K55" s="12" t="s">
        <v>34</v>
      </c>
      <c r="L55" s="105">
        <f>L50*1.2-0.02</f>
        <v>150.7</v>
      </c>
      <c r="M55" s="105">
        <f>L55*20%</f>
        <v>30.14</v>
      </c>
      <c r="N55" s="107">
        <f>M55+L55</f>
        <v>180.83999999999997</v>
      </c>
      <c r="O55" s="125"/>
      <c r="R55" s="92" t="s">
        <v>0</v>
      </c>
      <c r="S55" s="92"/>
      <c r="T55" s="94"/>
      <c r="U55" s="94"/>
      <c r="V55" s="92"/>
      <c r="W55" s="92"/>
      <c r="X55" s="92"/>
      <c r="Y55" s="92"/>
      <c r="Z55" s="95" t="s">
        <v>1</v>
      </c>
      <c r="AA55" s="38">
        <v>1578850</v>
      </c>
      <c r="AB55" s="38">
        <f>AB45*1.3+150</f>
        <v>1579000</v>
      </c>
      <c r="AC55" s="10">
        <f>AB55*20%</f>
        <v>315800</v>
      </c>
      <c r="AD55" s="55">
        <f>AC55+AB55</f>
        <v>1894800</v>
      </c>
      <c r="AJ55" s="92" t="s">
        <v>1</v>
      </c>
    </row>
    <row r="56" spans="1:30" ht="14.25">
      <c r="A56"/>
      <c r="B56" s="11">
        <v>32</v>
      </c>
      <c r="C56" s="12">
        <v>1</v>
      </c>
      <c r="D56" s="12" t="s">
        <v>34</v>
      </c>
      <c r="E56" s="105">
        <f>E50*1.2-0.04</f>
        <v>181.39999999999998</v>
      </c>
      <c r="F56" s="105">
        <f t="shared" si="6"/>
        <v>36.279999999999994</v>
      </c>
      <c r="G56" s="104">
        <f t="shared" si="5"/>
        <v>217.67999999999998</v>
      </c>
      <c r="H56" s="89"/>
      <c r="I56" s="11"/>
      <c r="J56" s="12"/>
      <c r="K56" s="12"/>
      <c r="L56" s="105"/>
      <c r="M56" s="105"/>
      <c r="N56" s="107"/>
      <c r="O56" s="125"/>
      <c r="R56" s="18"/>
      <c r="X56" s="11">
        <v>64</v>
      </c>
      <c r="Y56" s="12">
        <v>3</v>
      </c>
      <c r="Z56" s="12" t="s">
        <v>11</v>
      </c>
      <c r="AA56" s="38">
        <v>1263100</v>
      </c>
      <c r="AB56" s="38">
        <f>AB46*1.3-100</f>
        <v>1263500</v>
      </c>
      <c r="AC56" s="10">
        <f>AB56*20%</f>
        <v>252700</v>
      </c>
      <c r="AD56" s="55">
        <f>AC56+AB56</f>
        <v>1516200</v>
      </c>
    </row>
    <row r="57" spans="1:37" ht="16.5" thickBot="1">
      <c r="A57"/>
      <c r="B57" s="11">
        <v>33</v>
      </c>
      <c r="C57" s="12">
        <v>2</v>
      </c>
      <c r="D57" s="12" t="s">
        <v>34</v>
      </c>
      <c r="E57" s="105">
        <f>E51*1.2</f>
        <v>151.2</v>
      </c>
      <c r="F57" s="105">
        <f t="shared" si="6"/>
        <v>30.24</v>
      </c>
      <c r="G57" s="104">
        <f t="shared" si="5"/>
        <v>181.44</v>
      </c>
      <c r="H57" s="89"/>
      <c r="I57" s="37"/>
      <c r="J57" s="1"/>
      <c r="K57" s="1"/>
      <c r="L57" s="105"/>
      <c r="M57" s="105"/>
      <c r="N57" s="107"/>
      <c r="O57" s="125"/>
      <c r="S57" s="71"/>
      <c r="X57" s="18"/>
      <c r="AC57" s="28" t="s">
        <v>1</v>
      </c>
      <c r="AD57" s="57"/>
      <c r="AK57" s="28"/>
    </row>
    <row r="58" spans="1:15" ht="14.25">
      <c r="A58"/>
      <c r="B58" s="11">
        <v>34</v>
      </c>
      <c r="C58" s="12">
        <v>3</v>
      </c>
      <c r="D58" s="12" t="s">
        <v>34</v>
      </c>
      <c r="E58" s="105">
        <f>E52*1.2+0.04</f>
        <v>121.00000000000001</v>
      </c>
      <c r="F58" s="105">
        <f t="shared" si="6"/>
        <v>24.200000000000003</v>
      </c>
      <c r="G58" s="104">
        <f t="shared" si="5"/>
        <v>145.20000000000002</v>
      </c>
      <c r="H58" s="89"/>
      <c r="I58" s="11">
        <v>62</v>
      </c>
      <c r="J58" s="12">
        <v>1</v>
      </c>
      <c r="K58" s="12" t="s">
        <v>11</v>
      </c>
      <c r="L58" s="115">
        <f>L48*1.3-0.02</f>
        <v>244.9</v>
      </c>
      <c r="M58" s="105">
        <f>L58*20%</f>
        <v>48.980000000000004</v>
      </c>
      <c r="N58" s="107">
        <f>M58+L58</f>
        <v>293.88</v>
      </c>
      <c r="O58" s="125"/>
    </row>
    <row r="59" spans="1:37" ht="15.75">
      <c r="A59"/>
      <c r="B59" s="11">
        <v>35</v>
      </c>
      <c r="C59" s="12">
        <v>4</v>
      </c>
      <c r="D59" s="12" t="s">
        <v>34</v>
      </c>
      <c r="E59" s="105">
        <f>E53*1.2-0.02</f>
        <v>84.70000000000002</v>
      </c>
      <c r="F59" s="105">
        <f t="shared" si="6"/>
        <v>16.940000000000005</v>
      </c>
      <c r="G59" s="104">
        <f t="shared" si="5"/>
        <v>101.64000000000001</v>
      </c>
      <c r="H59" s="89"/>
      <c r="I59" s="11">
        <v>63</v>
      </c>
      <c r="J59" s="12">
        <v>2</v>
      </c>
      <c r="K59" s="12" t="s">
        <v>11</v>
      </c>
      <c r="L59" s="115">
        <f>L49*1.3</f>
        <v>204.1</v>
      </c>
      <c r="M59" s="105">
        <f>L59*20%</f>
        <v>40.82</v>
      </c>
      <c r="N59" s="107">
        <f>M59+L59</f>
        <v>244.92</v>
      </c>
      <c r="O59" s="125"/>
      <c r="S59" s="71"/>
      <c r="W59" s="18"/>
      <c r="AJ59" s="18"/>
      <c r="AK59" s="28"/>
    </row>
    <row r="60" spans="2:15" ht="14.25">
      <c r="B60" s="37"/>
      <c r="C60" s="1"/>
      <c r="D60" s="1"/>
      <c r="E60" s="103"/>
      <c r="F60" s="105"/>
      <c r="G60" s="104"/>
      <c r="H60" s="89"/>
      <c r="I60" s="11">
        <v>64</v>
      </c>
      <c r="J60" s="12">
        <v>3</v>
      </c>
      <c r="K60" s="12" t="s">
        <v>11</v>
      </c>
      <c r="L60" s="115">
        <f>L50*1.3+0.02</f>
        <v>163.30000000000004</v>
      </c>
      <c r="M60" s="105">
        <f>L60*20%</f>
        <v>32.66000000000001</v>
      </c>
      <c r="N60" s="107">
        <f>M60+L60</f>
        <v>195.96000000000004</v>
      </c>
      <c r="O60" s="125"/>
    </row>
    <row r="61" spans="2:15" ht="15" thickBot="1">
      <c r="B61" s="82">
        <v>36</v>
      </c>
      <c r="C61" s="80">
        <v>0</v>
      </c>
      <c r="D61" s="12" t="s">
        <v>11</v>
      </c>
      <c r="E61" s="118">
        <f>E49*1.3+0.02</f>
        <v>255.60000000000002</v>
      </c>
      <c r="F61" s="105">
        <f t="shared" si="6"/>
        <v>51.120000000000005</v>
      </c>
      <c r="G61" s="104">
        <f t="shared" si="5"/>
        <v>306.72</v>
      </c>
      <c r="H61" s="89"/>
      <c r="I61" s="7"/>
      <c r="J61" s="8"/>
      <c r="K61" s="9"/>
      <c r="L61" s="56"/>
      <c r="M61" s="74"/>
      <c r="N61" s="57"/>
      <c r="O61" s="53"/>
    </row>
    <row r="62" spans="2:13" ht="14.25">
      <c r="B62" s="11">
        <v>37</v>
      </c>
      <c r="C62" s="12">
        <v>1</v>
      </c>
      <c r="D62" s="12" t="s">
        <v>11</v>
      </c>
      <c r="E62" s="115">
        <f>E50*1.3+0.04</f>
        <v>196.6</v>
      </c>
      <c r="F62" s="105">
        <f t="shared" si="6"/>
        <v>39.32</v>
      </c>
      <c r="G62" s="104">
        <f t="shared" si="5"/>
        <v>235.92</v>
      </c>
      <c r="H62" s="89"/>
      <c r="I62" s="89"/>
      <c r="J62" s="89"/>
      <c r="K62" s="89"/>
      <c r="L62" s="89"/>
      <c r="M62" s="89"/>
    </row>
    <row r="63" spans="2:13" ht="14.25">
      <c r="B63" s="11">
        <v>38</v>
      </c>
      <c r="C63" s="12">
        <v>2</v>
      </c>
      <c r="D63" s="12" t="s">
        <v>11</v>
      </c>
      <c r="E63" s="115">
        <f>E51*1.3</f>
        <v>163.8</v>
      </c>
      <c r="F63" s="105">
        <f t="shared" si="6"/>
        <v>32.760000000000005</v>
      </c>
      <c r="G63" s="104">
        <f t="shared" si="5"/>
        <v>196.56</v>
      </c>
      <c r="H63" s="89"/>
      <c r="I63" s="89"/>
      <c r="J63" s="89"/>
      <c r="K63" s="89"/>
      <c r="L63" s="89"/>
      <c r="M63" s="89"/>
    </row>
    <row r="64" spans="2:13" ht="14.25">
      <c r="B64" s="11">
        <v>39</v>
      </c>
      <c r="C64" s="12">
        <v>3</v>
      </c>
      <c r="D64" s="12" t="s">
        <v>11</v>
      </c>
      <c r="E64" s="115">
        <f>E52*1.3-0.04</f>
        <v>131.00000000000003</v>
      </c>
      <c r="F64" s="105">
        <f t="shared" si="6"/>
        <v>26.200000000000006</v>
      </c>
      <c r="G64" s="104">
        <f t="shared" si="5"/>
        <v>157.20000000000005</v>
      </c>
      <c r="H64" s="89"/>
      <c r="I64" s="89"/>
      <c r="J64" s="89"/>
      <c r="K64" s="89"/>
      <c r="L64" s="89"/>
      <c r="M64" s="89"/>
    </row>
    <row r="65" spans="2:13" ht="15" thickBot="1">
      <c r="B65" s="13">
        <v>40</v>
      </c>
      <c r="C65" s="14">
        <v>4</v>
      </c>
      <c r="D65" s="14" t="s">
        <v>11</v>
      </c>
      <c r="E65" s="116">
        <f>E53*1.3+0.02</f>
        <v>91.80000000000001</v>
      </c>
      <c r="F65" s="106">
        <f t="shared" si="6"/>
        <v>18.360000000000003</v>
      </c>
      <c r="G65" s="166">
        <f t="shared" si="5"/>
        <v>110.16000000000001</v>
      </c>
      <c r="H65" s="89"/>
      <c r="I65" s="89"/>
      <c r="J65" s="89"/>
      <c r="K65" s="89"/>
      <c r="L65" s="89"/>
      <c r="M65" s="89"/>
    </row>
    <row r="66" spans="4:26" ht="14.25" customHeight="1">
      <c r="D66" s="92" t="s">
        <v>0</v>
      </c>
      <c r="E66" s="92"/>
      <c r="F66" s="92"/>
      <c r="G66" s="92"/>
      <c r="H66" s="92"/>
      <c r="I66" s="92"/>
      <c r="J66" s="92"/>
      <c r="K66" s="96" t="s">
        <v>1</v>
      </c>
      <c r="L66" s="92"/>
      <c r="Z66" s="28" t="s">
        <v>1</v>
      </c>
    </row>
    <row r="67" spans="2:13" ht="15.75">
      <c r="B67"/>
      <c r="C67" s="27"/>
      <c r="D67" s="97"/>
      <c r="E67" s="97"/>
      <c r="F67" s="97"/>
      <c r="G67" s="98"/>
      <c r="H67" s="98"/>
      <c r="I67" s="98"/>
      <c r="J67" s="98"/>
      <c r="K67" s="98"/>
      <c r="L67" s="98"/>
      <c r="M67" s="64"/>
    </row>
  </sheetData>
  <mergeCells count="57">
    <mergeCell ref="I8:N9"/>
    <mergeCell ref="I10:I11"/>
    <mergeCell ref="J10:J11"/>
    <mergeCell ref="K10:K11"/>
    <mergeCell ref="AL32:AL33"/>
    <mergeCell ref="AM32:AM33"/>
    <mergeCell ref="AL38:AL39"/>
    <mergeCell ref="AM38:AM39"/>
    <mergeCell ref="AL34:AL35"/>
    <mergeCell ref="AM34:AM35"/>
    <mergeCell ref="AL36:AL37"/>
    <mergeCell ref="AM36:AM37"/>
    <mergeCell ref="AL30:AL31"/>
    <mergeCell ref="AM30:AM31"/>
    <mergeCell ref="AM28:AM29"/>
    <mergeCell ref="AL22:AL23"/>
    <mergeCell ref="AM22:AM23"/>
    <mergeCell ref="AM12:AM13"/>
    <mergeCell ref="AL28:AL29"/>
    <mergeCell ref="AL12:AL13"/>
    <mergeCell ref="AL14:AL15"/>
    <mergeCell ref="AM20:AM21"/>
    <mergeCell ref="AL20:AL21"/>
    <mergeCell ref="AL16:AL17"/>
    <mergeCell ref="AL18:AL19"/>
    <mergeCell ref="AM14:AM15"/>
    <mergeCell ref="AM16:AM17"/>
    <mergeCell ref="R10:R11"/>
    <mergeCell ref="Q10:Q11"/>
    <mergeCell ref="P8:V9"/>
    <mergeCell ref="X10:X11"/>
    <mergeCell ref="X8:AD9"/>
    <mergeCell ref="Z10:Z11"/>
    <mergeCell ref="Y10:Y11"/>
    <mergeCell ref="C10:C11"/>
    <mergeCell ref="D10:D11"/>
    <mergeCell ref="B10:B11"/>
    <mergeCell ref="B8:G9"/>
    <mergeCell ref="D39:D40"/>
    <mergeCell ref="C39:C40"/>
    <mergeCell ref="B39:B40"/>
    <mergeCell ref="R35:R36"/>
    <mergeCell ref="I37:N38"/>
    <mergeCell ref="I39:I40"/>
    <mergeCell ref="J39:J40"/>
    <mergeCell ref="K39:K40"/>
    <mergeCell ref="X33:AD34"/>
    <mergeCell ref="B37:G38"/>
    <mergeCell ref="Z35:Z36"/>
    <mergeCell ref="Y35:Y36"/>
    <mergeCell ref="X35:X36"/>
    <mergeCell ref="P33:V34"/>
    <mergeCell ref="AM18:AM19"/>
    <mergeCell ref="AL24:AL25"/>
    <mergeCell ref="AM24:AM25"/>
    <mergeCell ref="AL26:AL27"/>
    <mergeCell ref="AM26:AM27"/>
  </mergeCells>
  <printOptions/>
  <pageMargins left="0" right="0" top="0" bottom="0" header="0.5118110236220472" footer="0.5118110236220472"/>
  <pageSetup horizontalDpi="600" verticalDpi="600" orientation="portrait" paperSize="9" scale="59" r:id="rId1"/>
  <colBreaks count="2" manualBreakCount="2">
    <brk id="14" max="65" man="1"/>
    <brk id="3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2017-11-20T11:05:04Z</cp:lastPrinted>
  <dcterms:created xsi:type="dcterms:W3CDTF">1996-10-08T23:32:33Z</dcterms:created>
  <dcterms:modified xsi:type="dcterms:W3CDTF">2017-11-30T07:10:30Z</dcterms:modified>
  <cp:category/>
  <cp:version/>
  <cp:contentType/>
  <cp:contentStatus/>
</cp:coreProperties>
</file>